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jpeg" ContentType="image/jpeg"/>
  <Default Extension="wmf" ContentType="image/x-wmf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  <Default Extension="png" ContentType="image/png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745" yWindow="180" windowWidth="12120" windowHeight="8835" tabRatio="582"/>
  </bookViews>
  <sheets>
    <sheet name="CAPA" sheetId="17" r:id="rId1"/>
    <sheet name="CÁLCULO" sheetId="28" r:id="rId2"/>
  </sheets>
  <definedNames>
    <definedName name="_xlnm.Print_Area" localSheetId="1">CÁLCULO!$A$1:$I$326</definedName>
  </definedNames>
  <calcPr calcId="125725"/>
</workbook>
</file>

<file path=xl/calcChain.xml><?xml version="1.0" encoding="utf-8"?>
<calcChain xmlns="http://schemas.openxmlformats.org/spreadsheetml/2006/main">
  <c r="G299" i="28"/>
  <c r="D255"/>
  <c r="F280"/>
  <c r="E275"/>
  <c r="E271"/>
  <c r="E277" s="1"/>
  <c r="E288" s="1"/>
  <c r="G220"/>
  <c r="E220"/>
  <c r="C220"/>
  <c r="C224"/>
  <c r="G224" s="1"/>
  <c r="F197"/>
  <c r="F195"/>
  <c r="G179"/>
  <c r="D179"/>
  <c r="D178"/>
  <c r="D130"/>
  <c r="D125"/>
  <c r="G116"/>
  <c r="D118" s="1"/>
  <c r="G125" s="1"/>
  <c r="G114"/>
  <c r="G99"/>
  <c r="D99"/>
  <c r="D71"/>
  <c r="H45"/>
  <c r="G49" s="1"/>
  <c r="C41"/>
  <c r="G14"/>
  <c r="G18" s="1"/>
  <c r="D181" l="1"/>
  <c r="D127"/>
  <c r="F75"/>
  <c r="D83" s="1"/>
  <c r="D101"/>
  <c r="F156"/>
  <c r="G130"/>
  <c r="D132" s="1"/>
  <c r="D242"/>
  <c r="F303"/>
  <c r="G231"/>
  <c r="D299"/>
  <c r="E282"/>
  <c r="D244" l="1"/>
  <c r="D290"/>
  <c r="D284"/>
  <c r="G305"/>
  <c r="D305"/>
  <c r="K296" s="1"/>
  <c r="K294"/>
  <c r="K295"/>
  <c r="D307" l="1"/>
  <c r="D314" s="1"/>
</calcChain>
</file>

<file path=xl/comments1.xml><?xml version="1.0" encoding="utf-8"?>
<comments xmlns="http://schemas.openxmlformats.org/spreadsheetml/2006/main">
  <authors>
    <author>Felipe Dutra</author>
  </authors>
  <commentList>
    <comment ref="I318" authorId="0">
      <text>
        <r>
          <rPr>
            <b/>
            <sz val="9"/>
            <color indexed="81"/>
            <rFont val="Tahoma"/>
            <family val="2"/>
          </rPr>
          <t>Felipe Dutra:</t>
        </r>
        <r>
          <rPr>
            <sz val="9"/>
            <color indexed="81"/>
            <rFont val="Tahoma"/>
            <family val="2"/>
          </rPr>
          <t xml:space="preserve">
CASO SEJA DESCIDA APARENTE, RETIRAR ESTA OBSERVAÇÃO.</t>
        </r>
      </text>
    </comment>
  </commentList>
</comments>
</file>

<file path=xl/sharedStrings.xml><?xml version="1.0" encoding="utf-8"?>
<sst xmlns="http://schemas.openxmlformats.org/spreadsheetml/2006/main" count="343" uniqueCount="255">
  <si>
    <t>MEMORIAL DE CÁLCULO</t>
  </si>
  <si>
    <t>Onde:</t>
  </si>
  <si>
    <t>Então:</t>
  </si>
  <si>
    <t>D =</t>
  </si>
  <si>
    <t>* Comprimento da área protegida:</t>
  </si>
  <si>
    <t>C =</t>
  </si>
  <si>
    <t>metros</t>
  </si>
  <si>
    <t>* Largura da área protegida:</t>
  </si>
  <si>
    <t>L =</t>
  </si>
  <si>
    <t>S =</t>
  </si>
  <si>
    <t>m2</t>
  </si>
  <si>
    <t xml:space="preserve">* Classificação da Estrutura: </t>
  </si>
  <si>
    <t xml:space="preserve">* Tipo da Estrutura: </t>
  </si>
  <si>
    <t>Nível de Proteção:</t>
  </si>
  <si>
    <t>I</t>
  </si>
  <si>
    <t>* Densidade de Descargas Atmosféricas para a Terra (Ng):</t>
  </si>
  <si>
    <t>Ng =</t>
  </si>
  <si>
    <t>Td - Num. de Dias de Trovoadas / ano</t>
  </si>
  <si>
    <t>Td =</t>
  </si>
  <si>
    <t>* Área de Exposição Equivalente (Ae):</t>
  </si>
  <si>
    <t>H =</t>
  </si>
  <si>
    <t>Vl =</t>
  </si>
  <si>
    <t>Ae =</t>
  </si>
  <si>
    <t>* Frequência Média anual previsível (Nd):</t>
  </si>
  <si>
    <t>Nd =</t>
  </si>
  <si>
    <t>[por ano]</t>
  </si>
  <si>
    <t>* Fatores de Ponderação (Po):</t>
  </si>
  <si>
    <t>A =</t>
  </si>
  <si>
    <t>B =</t>
  </si>
  <si>
    <t>E =</t>
  </si>
  <si>
    <t>Temos:</t>
  </si>
  <si>
    <t>Assim:</t>
  </si>
  <si>
    <t>Po =</t>
  </si>
  <si>
    <t>* Frequência Média anual previsível ponderada (Ndf):</t>
  </si>
  <si>
    <t>Ndf =</t>
  </si>
  <si>
    <t>* Avaliação Geral dos Riscos:</t>
  </si>
  <si>
    <t xml:space="preserve">* Se </t>
  </si>
  <si>
    <t>* Se</t>
  </si>
  <si>
    <t>Ndf  &gt;</t>
  </si>
  <si>
    <t xml:space="preserve"> &gt;  Ndf  &gt;</t>
  </si>
  <si>
    <t>, a estrutura requer um SPDA</t>
  </si>
  <si>
    <t>, é conveniente um SPDA</t>
  </si>
  <si>
    <t>Ndf  &lt;</t>
  </si>
  <si>
    <t>, a estrutura dispensa um SPDA</t>
  </si>
  <si>
    <t xml:space="preserve">Pco - (Perímetro da Construção, em m) </t>
  </si>
  <si>
    <t xml:space="preserve">Dcd - (Distância entre Condutores de Descidas, em m) </t>
  </si>
  <si>
    <t>Nível de Proteção</t>
  </si>
  <si>
    <t>Espaçamento Médio</t>
  </si>
  <si>
    <t>II</t>
  </si>
  <si>
    <t>III</t>
  </si>
  <si>
    <t>IV</t>
  </si>
  <si>
    <t>Pco =</t>
  </si>
  <si>
    <t>Dcd =</t>
  </si>
  <si>
    <t>Ncd =</t>
  </si>
  <si>
    <t>Condutores</t>
  </si>
  <si>
    <t>Dco =</t>
  </si>
  <si>
    <t>Dm =</t>
  </si>
  <si>
    <t>Para o Sentido do Comprimento:</t>
  </si>
  <si>
    <t>Para o Sentido da Largura:</t>
  </si>
  <si>
    <t>Material</t>
  </si>
  <si>
    <t>Captor e anéis</t>
  </si>
  <si>
    <t>Descidas (H&lt;20m)</t>
  </si>
  <si>
    <t>Descidas (H&gt;20m)</t>
  </si>
  <si>
    <t>Aterramento</t>
  </si>
  <si>
    <t>Cobre</t>
  </si>
  <si>
    <t>Alumínio</t>
  </si>
  <si>
    <t>Aço Galv.</t>
  </si>
  <si>
    <t>-</t>
  </si>
  <si>
    <t>mm2</t>
  </si>
  <si>
    <t xml:space="preserve"> - Condutor da malha Terra =</t>
  </si>
  <si>
    <t xml:space="preserve"> - Condutor da malha Captora =</t>
  </si>
  <si>
    <t>Utilização:</t>
  </si>
  <si>
    <t>* Condutores de Cobre;</t>
  </si>
  <si>
    <t>* Captores e Anéis Intermediários;</t>
  </si>
  <si>
    <t>4.4 _ CÁLCULO DO NÚMERO DE CAPTORES (HASTES VERTICAIS)_(Nhv):</t>
  </si>
  <si>
    <t>Cm =</t>
  </si>
  <si>
    <t>Obs.:</t>
  </si>
  <si>
    <t>* É recomendado por norma que o espaçamento máximo entre as hastes verticais seja de</t>
  </si>
  <si>
    <t>8,00 metros;</t>
  </si>
  <si>
    <t>Nhv1 =</t>
  </si>
  <si>
    <t>Hastes</t>
  </si>
  <si>
    <t>Número Total de Hastes:</t>
  </si>
  <si>
    <t>Nhv =</t>
  </si>
  <si>
    <t>e</t>
  </si>
  <si>
    <t>* Kj (Coeficiente referente ao nível de Proteção escolhido)</t>
  </si>
  <si>
    <t>* Kc (Coeficiente referente a configuração dimensional da instalação)</t>
  </si>
  <si>
    <t>* Km (Coeficiente referente ao material de separação)</t>
  </si>
  <si>
    <t>* l (Comprimento do condutor de descida, em metros)</t>
  </si>
  <si>
    <t>Kj</t>
  </si>
  <si>
    <t>Kj =</t>
  </si>
  <si>
    <t>III - IV</t>
  </si>
  <si>
    <t>Kc =</t>
  </si>
  <si>
    <t>(Unidimensional)</t>
  </si>
  <si>
    <t>Km =</t>
  </si>
  <si>
    <t>Km</t>
  </si>
  <si>
    <t>Ar</t>
  </si>
  <si>
    <t>Sólido</t>
  </si>
  <si>
    <t>l =</t>
  </si>
  <si>
    <t>s &gt; d =</t>
  </si>
  <si>
    <t>* Geometria da Malha de Terra :</t>
  </si>
  <si>
    <r>
      <t>r</t>
    </r>
    <r>
      <rPr>
        <sz val="10"/>
        <rFont val="Arial"/>
        <family val="2"/>
      </rPr>
      <t>s =</t>
    </r>
  </si>
  <si>
    <r>
      <t>V</t>
    </r>
    <r>
      <rPr>
        <sz val="10"/>
        <rFont val="Arial"/>
        <family val="2"/>
      </rPr>
      <t>m</t>
    </r>
  </si>
  <si>
    <t>* Comprimento Linear da Malha :</t>
  </si>
  <si>
    <t>* Largura Linear da Malha :</t>
  </si>
  <si>
    <t>Lm =</t>
  </si>
  <si>
    <t>Te =</t>
  </si>
  <si>
    <t>segundos</t>
  </si>
  <si>
    <t>* Tipo de Junção dos Cabos e Hastes da Malha de Terra:</t>
  </si>
  <si>
    <t>Solda Exotérmica</t>
  </si>
  <si>
    <t>* Corrente de Curto-Circuito Trifásica :</t>
  </si>
  <si>
    <t>* Tempo de Duração da Corrente de Curto Circuito (Fase-Terra):</t>
  </si>
  <si>
    <t>Icc =</t>
  </si>
  <si>
    <t>kA</t>
  </si>
  <si>
    <t>Tempo (s)</t>
  </si>
  <si>
    <t>Juntas Soldadas</t>
  </si>
  <si>
    <t>Juntas Rebitadas</t>
  </si>
  <si>
    <t>Determinação do Ks (mm2/A)</t>
  </si>
  <si>
    <t>Ks =</t>
  </si>
  <si>
    <t>* R (Raio do circulo equivalente à área destinada a malha de terra);</t>
  </si>
  <si>
    <t>* Lcm (Comprimento do condutor da malha de  de terra);</t>
  </si>
  <si>
    <t>Lcm =</t>
  </si>
  <si>
    <t>R =</t>
  </si>
  <si>
    <t>Rm =</t>
  </si>
  <si>
    <t>V</t>
  </si>
  <si>
    <t>* Lh (Comprimento cravado da haste de terra, em m);</t>
  </si>
  <si>
    <t>* Dh (Diâmetro equivalente da haste de terra, em polegadas);</t>
  </si>
  <si>
    <t>Lh =</t>
  </si>
  <si>
    <t>Dh =</t>
  </si>
  <si>
    <t>polegadas</t>
  </si>
  <si>
    <t>Rh =</t>
  </si>
  <si>
    <t>* Kh (Coeficiente de redução da resistência de um eletrodo vertical);</t>
  </si>
  <si>
    <t>* Nh (Número de Hastes da malha de terra);</t>
  </si>
  <si>
    <t>* A (Coeficiente - função do comprimento e do diâmetro da Haste);</t>
  </si>
  <si>
    <t>* B (Coeficiente - função do número de Hastes);</t>
  </si>
  <si>
    <t>* Número de Hastes no sentido do Comprimento da malha (Nh1) :</t>
  </si>
  <si>
    <t>* Número de Hastes no sentido da Largura da malha (Nh2) :</t>
  </si>
  <si>
    <t>Nh =</t>
  </si>
  <si>
    <t>* Coeficiente A :</t>
  </si>
  <si>
    <t>* Coeficiente B :</t>
  </si>
  <si>
    <t>Kh =</t>
  </si>
  <si>
    <t>Rne =</t>
  </si>
  <si>
    <t>* S (Área da malha, em m2);</t>
  </si>
  <si>
    <t>* Lth (Comprimento total das hastes utilizadas, em m);</t>
  </si>
  <si>
    <t>Lth =</t>
  </si>
  <si>
    <t>K1 =</t>
  </si>
  <si>
    <t>1,14125 - 0,0425 x K</t>
  </si>
  <si>
    <t>K2 =</t>
  </si>
  <si>
    <t>5,49 - 0,1443 x K</t>
  </si>
  <si>
    <t>K =</t>
  </si>
  <si>
    <t>Rmu =</t>
  </si>
  <si>
    <t>Rt =</t>
  </si>
  <si>
    <t>* Área a ser protegida (C x L):</t>
  </si>
  <si>
    <t>* Altura da área protegida (Teto / Solo):</t>
  </si>
  <si>
    <t>* Volume interno de proteção (S x H):</t>
  </si>
  <si>
    <t>* Resistividade aparente do Solo :</t>
  </si>
  <si>
    <t>Nh1(Cm/D) =</t>
  </si>
  <si>
    <t>Distância entre hastes (D):</t>
  </si>
  <si>
    <t>Nh2(Lm/D) =</t>
  </si>
  <si>
    <t xml:space="preserve">         Será utilizada uma malha fechada contornando todo o perímetro externo da</t>
  </si>
  <si>
    <t xml:space="preserve">         Edificação avaliada, a uma distância da alvenaria de:</t>
  </si>
  <si>
    <t>D=</t>
  </si>
  <si>
    <t>Altura da Construção em (m)</t>
  </si>
  <si>
    <t>Â =</t>
  </si>
  <si>
    <t>Rp =</t>
  </si>
  <si>
    <t>Hc =</t>
  </si>
  <si>
    <t>graus</t>
  </si>
  <si>
    <t>rad</t>
  </si>
  <si>
    <t>h =</t>
  </si>
  <si>
    <t>Captores</t>
  </si>
  <si>
    <t xml:space="preserve">Dco - (Distância da largura ou comprimento, em m) </t>
  </si>
  <si>
    <t xml:space="preserve">Dm - (Diamêtro da área a ser protegida, em m) </t>
  </si>
  <si>
    <t>(Planice)</t>
  </si>
  <si>
    <t>(Conforme tabela B.6 / Pag.: 35 / NBR 5419-2005)</t>
  </si>
  <si>
    <t>* (Conforme tabela B.6 / Pag.: 35 / NBR 5419-2005)</t>
  </si>
  <si>
    <t>* A (Tipo de Ocupação da Estrutura) - Tabela B.1 / Pag. 33 / NBR 5419-2005</t>
  </si>
  <si>
    <t>* B (Tipo de Construção da Estrutura) - Tabela B.2 / Pag. 33 / NBR 5419-2005</t>
  </si>
  <si>
    <t>* C (Efeitos Indiretos das Descargas) - Tabela B.3 / Pag. 34 / NBR 5419-2005</t>
  </si>
  <si>
    <t>* D (Localização da Estrutura) - Tabela B.4 / Pag. 34 / NBR 5419-2005</t>
  </si>
  <si>
    <t>* E (Topografia da Região) - Tabela B.5 / Pag. 34 / NBR 5419-2005</t>
  </si>
  <si>
    <t>Tabela 2, Pag.: 11 / NBR 5419-2005 (Dcd)</t>
  </si>
  <si>
    <t>Conforme ítem B.4.1, Pag.: 32 / NBR 5419-2005</t>
  </si>
  <si>
    <t>Tabela 3, Pag.: 11 / NBR 5419-2005</t>
  </si>
  <si>
    <t>Danos às instalações elétricas e possibilidade de pânico, etc</t>
  </si>
  <si>
    <t>[por km²/ano]</t>
  </si>
  <si>
    <t>mm²</t>
  </si>
  <si>
    <t>mm² / A</t>
  </si>
  <si>
    <t>Tel.: (71) 3503-0000 / Fax: (71) 3503-0001</t>
  </si>
  <si>
    <t>www.jcaengenharia.com.br</t>
  </si>
  <si>
    <t>CLIENTE:</t>
  </si>
  <si>
    <t>VOLUME</t>
  </si>
  <si>
    <t>REVISÃO</t>
  </si>
  <si>
    <t>DATA</t>
  </si>
  <si>
    <t>01/01</t>
  </si>
  <si>
    <t>(Conforme Dados do Fabricante)</t>
  </si>
  <si>
    <t>Obs.: Considerando que os vergalhões de descida do sistema de captação do SPDA (Re-BAR) ainda</t>
  </si>
  <si>
    <t>descem até o fundo dos elementos de fundação da estrutura, e estes formam um conjunto eletricamente</t>
  </si>
  <si>
    <t>continuo, essa Resistência Total da Malha de Terra será ainda menor.</t>
  </si>
  <si>
    <t>Ncm1 =</t>
  </si>
  <si>
    <t>Ncm2 =</t>
  </si>
  <si>
    <t>Tabela 8, Pag.: 20 / NBR 5419-2005</t>
  </si>
  <si>
    <t>Tabela 9, Pag.: 20 / NBR 5419-2005</t>
  </si>
  <si>
    <t>Conforme: Tabela 8 / Pag. 20 / NBR 5419-2005</t>
  </si>
  <si>
    <t>Conforme: Tabela 9 / Pag. 20 / NBR 5419-2005</t>
  </si>
  <si>
    <t>Conforme: Figuras 4,5 e 6 / Pag. 20 e 21 / NBR 5419-2005</t>
  </si>
  <si>
    <t>(Estrutura localizada em uma grande área contendo</t>
  </si>
  <si>
    <t>estruturas ou árvores da mesma altura ou mais altas)</t>
  </si>
  <si>
    <t>(Escolas, hospitais, creches e outras instituições,</t>
  </si>
  <si>
    <t>locais de afluência de público)</t>
  </si>
  <si>
    <t>Rua Ewerton Visco, 290 sala 1104 – Edf. Boulevard Side Empresarial</t>
  </si>
  <si>
    <t>Caminho das Árvores – Salvador / BA – CEP: 41.820-022</t>
  </si>
  <si>
    <t>m²</t>
  </si>
  <si>
    <t>m³</t>
  </si>
  <si>
    <t>Estruturas comuns</t>
  </si>
  <si>
    <t>Teatros, escolas, lojas de departamentos, áreas esportivas e igrejas</t>
  </si>
  <si>
    <t>p/ Salvador</t>
  </si>
  <si>
    <t>(Escolas, hospitais, creches e outras instituições)</t>
  </si>
  <si>
    <t>(Estrutura de concreto armado,com cobertura</t>
  </si>
  <si>
    <t>não metálica)</t>
  </si>
  <si>
    <t>UFBA</t>
  </si>
  <si>
    <t>PROJETO DE SISTEMA DE PROTEÇÃO CONTRA DESCARGAS ATMOSFÉRICAS (SPDA)</t>
  </si>
  <si>
    <t>.</t>
  </si>
  <si>
    <t>RESPONSÁVEL:  Eng. Eletricista Mayrthon Paulo Costa Junior / RNP: 060191712-0</t>
  </si>
  <si>
    <t>* Efeitos das Descargas Atmosféricas: (Conforme tabela B.6 / Pag.: 35 / NBR 5419-2005)</t>
  </si>
  <si>
    <t>1. DADOS A SEREM CONSIDERADOS</t>
  </si>
  <si>
    <t>2. DETERMINAÇÃO DO NÍVEL DE PROTEÇÃO DA ÁREA ESTUDADA</t>
  </si>
  <si>
    <t>3. AVALIAÇÃO DO RISCO DE EXPOSIÇÃO</t>
  </si>
  <si>
    <t>4. MEMORIAL DE CÁLCULO DA INSTALAÇÃO DE SPDA</t>
  </si>
  <si>
    <t>4.1. CÁLCULO DO NÚMERO DE CONDUTORES DE DESCIDA (Ncd)</t>
  </si>
  <si>
    <t>4.2. CÁLCULO DA ZONA DE PROTEÇÃO (Rp) - MÉTODO DE FRANKLIN</t>
  </si>
  <si>
    <t>4.3. CÁLCULO DA SEÇÃO DOS CONDUTORES DA MALHA CAPTORA E DE DESCIDA)</t>
  </si>
  <si>
    <t>5. MEMORIAL DE CÁLCULO DA INSTALAÇÃO DA MALHA DE ATERRAMENTO</t>
  </si>
  <si>
    <t>5.1. DADOS DA INSTALAÇÃO</t>
  </si>
  <si>
    <t>5.2. DADOS UTILIZADOS PARA OS CÁLCULOS</t>
  </si>
  <si>
    <t>5.3. CÁLCULO DA SEÇÃO MÍNIMA DO CONDUTOR DE ATERRAMENTO</t>
  </si>
  <si>
    <t>5.4. CÁLCULO DO COMPRIMENTO DO CONDUTOR DA MALHA DE ATERRAMENTO (Lcm)</t>
  </si>
  <si>
    <t>5.5. CALCULO DA RESISTÊNCIA DA MALHA DE ATERRAMENTO</t>
  </si>
  <si>
    <t>5.5.1. Resistência da Malha de Aterramento (Condutores)</t>
  </si>
  <si>
    <t>5.5.2. Resistência de Aterramento de um Eletrodo Vertical (Haste)</t>
  </si>
  <si>
    <t>5.5.3. Resistência de Aterramento do Conjunto de Eletrodos Verticais (Hastes)</t>
  </si>
  <si>
    <t>5.5.4. Resistência Mútua de Cabos e de Eletrodos Verticais (Cabos e Hastes)</t>
  </si>
  <si>
    <t>5.5.5. Resistência Total da Malha</t>
  </si>
  <si>
    <t>**Valor estimado baseado no tempo de atuação da proteção a jusante da subestação da Biblioteca Isaías Alves.</t>
  </si>
  <si>
    <t>**Valor estimado baseado em um curto-circuito equivalente a dez vezes a corrente de carga máxima da instalação, aproximadamente 8 kA para transformador de 300 kVA.</t>
  </si>
  <si>
    <t>Sc (calculado) =</t>
  </si>
  <si>
    <t>Sc (adotado) =</t>
  </si>
  <si>
    <t>ASSUNTO: MEMORIAL DE CÁLCULO DE SPDA</t>
  </si>
  <si>
    <t>4.2.1. Cálculo do Ângulo de Proteção</t>
  </si>
  <si>
    <t>4.4. PROXIMIDADE DO SPDA COM OUTRAS INSTALAÇÕES</t>
  </si>
  <si>
    <t>CIENAM - MÓDULO 3</t>
  </si>
  <si>
    <t>1</t>
  </si>
  <si>
    <t>29/07/2016</t>
  </si>
  <si>
    <t>Captor</t>
  </si>
  <si>
    <r>
      <t xml:space="preserve">**Quantidade de captores para uma proteção através do método de Franklin, apenas. O SPDA adotado para o </t>
    </r>
    <r>
      <rPr>
        <b/>
        <sz val="10"/>
        <rFont val="Arial"/>
        <family val="2"/>
      </rPr>
      <t>CIENAM - MÓDULO 3</t>
    </r>
    <r>
      <rPr>
        <sz val="10"/>
        <rFont val="Arial"/>
        <family val="2"/>
      </rPr>
      <t xml:space="preserve"> é do tipo misto, com método de Franklin e de Faraday empregados em conjunto, aumentando a segunraça da instalação contra os riscos provenientes de descargas atmosféricas. Por isso, apenas um captor tipo Franklin foi utilizado.</t>
    </r>
  </si>
  <si>
    <t>**Valor estimado baseado no tipo de solo Silte Argiloso, de acordo com o Perfil de Sondagem no Campus Federação / Ondina.</t>
  </si>
  <si>
    <t>**Valor adotado segundo Tabela 3, Pág. 11, NBR 5419:2005,</t>
  </si>
</sst>
</file>

<file path=xl/styles.xml><?xml version="1.0" encoding="utf-8"?>
<styleSheet xmlns="http://schemas.openxmlformats.org/spreadsheetml/2006/main">
  <numFmts count="7">
    <numFmt numFmtId="169" formatCode="_(* #,##0_);_(* \(#,##0\);_(* &quot;-&quot;_);_(@_)"/>
    <numFmt numFmtId="171" formatCode="_(* #,##0.00_);_(* \(#,##0.00\);_(* &quot;-&quot;??_);_(@_)"/>
    <numFmt numFmtId="178" formatCode="_(* #,##0.0000_);_(* \(#,##0.0000\);_(* &quot;-&quot;????_);_(@_)"/>
    <numFmt numFmtId="187" formatCode="0.000000"/>
    <numFmt numFmtId="188" formatCode="_(* #,##0.000000_);_(* \(#,##0.000000\);_(* &quot;-&quot;??????_);_(@_)"/>
    <numFmt numFmtId="190" formatCode="_([$€-2]* #,##0.00_);_([$€-2]* \(#,##0.00\);_([$€-2]* &quot;-&quot;??_)"/>
    <numFmt numFmtId="199" formatCode="_(* #,##0.00000_);_(* \(#,##0.00000\);_(* &quot;-&quot;_);_(@_)"/>
  </numFmts>
  <fonts count="29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u val="singleAccounting"/>
      <sz val="9"/>
      <name val="Arial"/>
      <family val="2"/>
    </font>
    <font>
      <u/>
      <sz val="10"/>
      <name val="Arial"/>
      <family val="2"/>
    </font>
    <font>
      <b/>
      <sz val="10"/>
      <name val="UniversalMath1 BT"/>
      <family val="1"/>
      <charset val="2"/>
    </font>
    <font>
      <sz val="10"/>
      <name val="UniversalMath1 BT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0"/>
      <name val="UniversalMath1 BT"/>
      <family val="1"/>
      <charset val="2"/>
    </font>
    <font>
      <b/>
      <sz val="9"/>
      <color indexed="10"/>
      <name val="Arial"/>
      <family val="2"/>
    </font>
    <font>
      <b/>
      <sz val="10"/>
      <color indexed="16"/>
      <name val="Calibri"/>
      <family val="2"/>
    </font>
    <font>
      <b/>
      <sz val="25"/>
      <color indexed="16"/>
      <name val="Calibri"/>
      <family val="2"/>
    </font>
    <font>
      <b/>
      <sz val="20"/>
      <name val="Calibri"/>
      <family val="2"/>
    </font>
    <font>
      <b/>
      <sz val="14"/>
      <name val="Calibri"/>
      <family val="2"/>
    </font>
    <font>
      <b/>
      <sz val="25"/>
      <color indexed="16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4"/>
      <color indexed="16"/>
      <name val="Calibri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lightGray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6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90" fontId="1" fillId="0" borderId="0" applyFont="0" applyFill="0" applyBorder="0" applyAlignment="0" applyProtection="0"/>
    <xf numFmtId="190" fontId="28" fillId="0" borderId="0" applyFont="0" applyFill="0" applyBorder="0" applyAlignment="0" applyProtection="0"/>
    <xf numFmtId="0" fontId="7" fillId="0" borderId="0"/>
    <xf numFmtId="171" fontId="28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 applyFill="1" applyBorder="1" applyAlignment="1">
      <alignment horizontal="left"/>
    </xf>
    <xf numFmtId="169" fontId="8" fillId="1" borderId="1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71" fontId="0" fillId="0" borderId="0" xfId="0" applyNumberForma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178" fontId="2" fillId="0" borderId="0" xfId="0" applyNumberFormat="1" applyFont="1" applyFill="1" applyBorder="1"/>
    <xf numFmtId="0" fontId="8" fillId="0" borderId="2" xfId="0" applyFont="1" applyFill="1" applyBorder="1" applyAlignment="1">
      <alignment horizontal="left"/>
    </xf>
    <xf numFmtId="0" fontId="16" fillId="0" borderId="2" xfId="0" applyFont="1" applyFill="1" applyBorder="1"/>
    <xf numFmtId="171" fontId="2" fillId="0" borderId="0" xfId="0" applyNumberFormat="1" applyFont="1" applyFill="1" applyBorder="1"/>
    <xf numFmtId="0" fontId="7" fillId="0" borderId="0" xfId="0" applyFont="1" applyFill="1" applyBorder="1" applyAlignment="1">
      <alignment horizontal="right"/>
    </xf>
    <xf numFmtId="178" fontId="7" fillId="0" borderId="0" xfId="0" applyNumberFormat="1" applyFont="1" applyFill="1" applyBorder="1"/>
    <xf numFmtId="0" fontId="7" fillId="0" borderId="0" xfId="0" applyFont="1" applyFill="1" applyBorder="1"/>
    <xf numFmtId="0" fontId="5" fillId="0" borderId="3" xfId="0" applyFont="1" applyFill="1" applyBorder="1" applyAlignment="1">
      <alignment horizontal="right"/>
    </xf>
    <xf numFmtId="171" fontId="5" fillId="0" borderId="4" xfId="0" applyNumberFormat="1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171" fontId="0" fillId="0" borderId="0" xfId="0" applyNumberFormat="1" applyFill="1" applyBorder="1"/>
    <xf numFmtId="11" fontId="5" fillId="0" borderId="4" xfId="0" applyNumberFormat="1" applyFont="1" applyFill="1" applyBorder="1"/>
    <xf numFmtId="178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2" fillId="0" borderId="3" xfId="0" applyFont="1" applyFill="1" applyBorder="1" applyAlignment="1">
      <alignment horizontal="right"/>
    </xf>
    <xf numFmtId="171" fontId="2" fillId="0" borderId="5" xfId="0" applyNumberFormat="1" applyFont="1" applyFill="1" applyBorder="1"/>
    <xf numFmtId="11" fontId="0" fillId="0" borderId="0" xfId="0" applyNumberFormat="1" applyFill="1" applyBorder="1"/>
    <xf numFmtId="0" fontId="8" fillId="0" borderId="0" xfId="0" applyFont="1" applyFill="1" applyBorder="1"/>
    <xf numFmtId="169" fontId="0" fillId="0" borderId="0" xfId="0" applyNumberFormat="1" applyFill="1" applyBorder="1"/>
    <xf numFmtId="0" fontId="6" fillId="0" borderId="0" xfId="0" applyFont="1" applyFill="1" applyBorder="1" applyAlignment="1">
      <alignment horizontal="left"/>
    </xf>
    <xf numFmtId="169" fontId="0" fillId="0" borderId="0" xfId="0" applyNumberForma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right"/>
    </xf>
    <xf numFmtId="0" fontId="12" fillId="0" borderId="0" xfId="0" applyFont="1" applyFill="1" applyBorder="1"/>
    <xf numFmtId="0" fontId="11" fillId="0" borderId="0" xfId="0" applyFont="1" applyFill="1" applyBorder="1"/>
    <xf numFmtId="171" fontId="13" fillId="0" borderId="0" xfId="0" applyNumberFormat="1" applyFont="1" applyFill="1" applyBorder="1"/>
    <xf numFmtId="0" fontId="7" fillId="0" borderId="6" xfId="0" applyFont="1" applyFill="1" applyBorder="1" applyAlignment="1">
      <alignment horizontal="center"/>
    </xf>
    <xf numFmtId="39" fontId="7" fillId="0" borderId="6" xfId="0" applyNumberFormat="1" applyFont="1" applyFill="1" applyBorder="1" applyAlignment="1">
      <alignment horizontal="center"/>
    </xf>
    <xf numFmtId="171" fontId="2" fillId="0" borderId="4" xfId="0" applyNumberFormat="1" applyFont="1" applyFill="1" applyBorder="1"/>
    <xf numFmtId="0" fontId="11" fillId="0" borderId="5" xfId="0" applyFont="1" applyFill="1" applyBorder="1"/>
    <xf numFmtId="0" fontId="1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171" fontId="5" fillId="0" borderId="0" xfId="0" applyNumberFormat="1" applyFont="1" applyFill="1" applyBorder="1"/>
    <xf numFmtId="171" fontId="0" fillId="2" borderId="6" xfId="0" applyNumberFormat="1" applyFill="1" applyBorder="1" applyAlignment="1">
      <alignment horizontal="right"/>
    </xf>
    <xf numFmtId="169" fontId="8" fillId="3" borderId="1" xfId="0" applyNumberFormat="1" applyFont="1" applyFill="1" applyBorder="1"/>
    <xf numFmtId="0" fontId="8" fillId="3" borderId="7" xfId="0" applyFont="1" applyFill="1" applyBorder="1" applyAlignment="1">
      <alignment horizontal="right"/>
    </xf>
    <xf numFmtId="0" fontId="8" fillId="3" borderId="8" xfId="0" applyFont="1" applyFill="1" applyBorder="1"/>
    <xf numFmtId="171" fontId="0" fillId="2" borderId="6" xfId="0" applyNumberFormat="1" applyFill="1" applyBorder="1"/>
    <xf numFmtId="171" fontId="7" fillId="2" borderId="6" xfId="0" applyNumberFormat="1" applyFont="1" applyFill="1" applyBorder="1" applyAlignment="1">
      <alignment horizontal="left"/>
    </xf>
    <xf numFmtId="171" fontId="13" fillId="2" borderId="6" xfId="0" applyNumberFormat="1" applyFont="1" applyFill="1" applyBorder="1"/>
    <xf numFmtId="12" fontId="0" fillId="2" borderId="6" xfId="0" applyNumberFormat="1" applyFill="1" applyBorder="1" applyAlignment="1">
      <alignment horizontal="center"/>
    </xf>
    <xf numFmtId="171" fontId="1" fillId="2" borderId="6" xfId="0" applyNumberFormat="1" applyFont="1" applyFill="1" applyBorder="1" applyAlignment="1">
      <alignment horizontal="left"/>
    </xf>
    <xf numFmtId="0" fontId="8" fillId="1" borderId="7" xfId="0" applyFont="1" applyFill="1" applyBorder="1" applyAlignment="1">
      <alignment horizontal="right"/>
    </xf>
    <xf numFmtId="0" fontId="8" fillId="1" borderId="8" xfId="0" applyFont="1" applyFill="1" applyBorder="1"/>
    <xf numFmtId="0" fontId="8" fillId="2" borderId="7" xfId="0" applyFont="1" applyFill="1" applyBorder="1" applyAlignment="1">
      <alignment horizontal="right"/>
    </xf>
    <xf numFmtId="169" fontId="8" fillId="2" borderId="1" xfId="0" applyNumberFormat="1" applyFont="1" applyFill="1" applyBorder="1"/>
    <xf numFmtId="0" fontId="8" fillId="1" borderId="9" xfId="0" applyFont="1" applyFill="1" applyBorder="1" applyAlignment="1">
      <alignment horizontal="right"/>
    </xf>
    <xf numFmtId="171" fontId="17" fillId="1" borderId="10" xfId="0" applyNumberFormat="1" applyFont="1" applyFill="1" applyBorder="1"/>
    <xf numFmtId="0" fontId="18" fillId="1" borderId="11" xfId="0" applyFont="1" applyFill="1" applyBorder="1"/>
    <xf numFmtId="171" fontId="8" fillId="1" borderId="1" xfId="0" applyNumberFormat="1" applyFont="1" applyFill="1" applyBorder="1"/>
    <xf numFmtId="171" fontId="8" fillId="1" borderId="12" xfId="0" applyNumberFormat="1" applyFont="1" applyFill="1" applyBorder="1"/>
    <xf numFmtId="0" fontId="8" fillId="1" borderId="13" xfId="0" applyFont="1" applyFill="1" applyBorder="1"/>
    <xf numFmtId="0" fontId="8" fillId="1" borderId="14" xfId="0" applyFont="1" applyFill="1" applyBorder="1"/>
    <xf numFmtId="0" fontId="16" fillId="1" borderId="8" xfId="0" applyFont="1" applyFill="1" applyBorder="1"/>
    <xf numFmtId="178" fontId="0" fillId="2" borderId="6" xfId="0" applyNumberFormat="1" applyFill="1" applyBorder="1"/>
    <xf numFmtId="0" fontId="3" fillId="0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/>
    </xf>
    <xf numFmtId="171" fontId="15" fillId="2" borderId="6" xfId="0" applyNumberFormat="1" applyFont="1" applyFill="1" applyBorder="1"/>
    <xf numFmtId="0" fontId="6" fillId="0" borderId="6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right"/>
    </xf>
    <xf numFmtId="171" fontId="6" fillId="0" borderId="4" xfId="0" applyNumberFormat="1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14" fillId="0" borderId="0" xfId="0" applyFont="1" applyFill="1" applyBorder="1"/>
    <xf numFmtId="171" fontId="6" fillId="5" borderId="6" xfId="0" applyNumberFormat="1" applyFont="1" applyFill="1" applyBorder="1" applyAlignment="1">
      <alignment horizontal="left"/>
    </xf>
    <xf numFmtId="0" fontId="19" fillId="0" borderId="7" xfId="0" applyFont="1" applyFill="1" applyBorder="1" applyAlignment="1">
      <alignment horizontal="right"/>
    </xf>
    <xf numFmtId="171" fontId="19" fillId="0" borderId="1" xfId="0" applyNumberFormat="1" applyFont="1" applyFill="1" applyBorder="1" applyAlignment="1">
      <alignment horizontal="left"/>
    </xf>
    <xf numFmtId="0" fontId="19" fillId="0" borderId="8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center"/>
    </xf>
    <xf numFmtId="0" fontId="0" fillId="0" borderId="6" xfId="0" applyFill="1" applyBorder="1"/>
    <xf numFmtId="0" fontId="0" fillId="6" borderId="0" xfId="0" applyFill="1"/>
    <xf numFmtId="0" fontId="2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188" fontId="0" fillId="0" borderId="0" xfId="0" applyNumberForma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0" borderId="15" xfId="0" applyFont="1" applyFill="1" applyBorder="1"/>
    <xf numFmtId="0" fontId="2" fillId="0" borderId="0" xfId="0" applyFont="1" applyFill="1" applyBorder="1" applyAlignment="1"/>
    <xf numFmtId="0" fontId="0" fillId="0" borderId="0" xfId="0" applyFill="1"/>
    <xf numFmtId="0" fontId="8" fillId="2" borderId="8" xfId="0" applyFont="1" applyFill="1" applyBorder="1"/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5" fillId="0" borderId="5" xfId="0" applyNumberFormat="1" applyFont="1" applyFill="1" applyBorder="1"/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7" fillId="0" borderId="0" xfId="0" applyFont="1"/>
    <xf numFmtId="0" fontId="2" fillId="0" borderId="0" xfId="0" applyFont="1" applyAlignment="1">
      <alignment horizontal="left"/>
    </xf>
    <xf numFmtId="0" fontId="7" fillId="0" borderId="0" xfId="0" applyFont="1" applyBorder="1"/>
    <xf numFmtId="0" fontId="0" fillId="0" borderId="0" xfId="0" applyFill="1" applyBorder="1" applyAlignment="1">
      <alignment horizontal="left" wrapText="1"/>
    </xf>
    <xf numFmtId="0" fontId="23" fillId="0" borderId="0" xfId="0" applyFont="1" applyFill="1" applyAlignment="1">
      <alignment horizontal="center" vertical="center" wrapText="1"/>
    </xf>
    <xf numFmtId="49" fontId="23" fillId="0" borderId="0" xfId="0" applyNumberFormat="1" applyFont="1" applyFill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0" fontId="27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1" borderId="7" xfId="0" applyFont="1" applyFill="1" applyBorder="1" applyAlignment="1">
      <alignment horizontal="right"/>
    </xf>
    <xf numFmtId="0" fontId="8" fillId="1" borderId="1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71" fontId="0" fillId="0" borderId="0" xfId="0" applyNumberFormat="1" applyFill="1" applyBorder="1" applyAlignment="1">
      <alignment horizontal="right"/>
    </xf>
    <xf numFmtId="187" fontId="7" fillId="0" borderId="6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178" fontId="9" fillId="0" borderId="0" xfId="0" applyNumberFormat="1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7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178" fontId="9" fillId="0" borderId="15" xfId="0" applyNumberFormat="1" applyFon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10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15" fillId="0" borderId="16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199" fontId="5" fillId="0" borderId="5" xfId="0" applyNumberFormat="1" applyFont="1" applyFill="1" applyBorder="1"/>
  </cellXfs>
  <cellStyles count="5">
    <cellStyle name="Euro" xfId="1"/>
    <cellStyle name="Euro 2" xfId="2"/>
    <cellStyle name="Normal" xfId="0" builtinId="0"/>
    <cellStyle name="Normal 2" xfId="3"/>
    <cellStyle name="Separador de milhares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wmf"/><Relationship Id="rId2" Type="http://schemas.openxmlformats.org/officeDocument/2006/relationships/image" Target="../media/image3.wmf"/><Relationship Id="rId1" Type="http://schemas.openxmlformats.org/officeDocument/2006/relationships/image" Target="../media/image2.wmf"/><Relationship Id="rId5" Type="http://schemas.openxmlformats.org/officeDocument/2006/relationships/image" Target="../media/image6.wmf"/><Relationship Id="rId4" Type="http://schemas.openxmlformats.org/officeDocument/2006/relationships/image" Target="../media/image5.w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1.emf"/><Relationship Id="rId13" Type="http://schemas.openxmlformats.org/officeDocument/2006/relationships/image" Target="../media/image16.emf"/><Relationship Id="rId18" Type="http://schemas.openxmlformats.org/officeDocument/2006/relationships/image" Target="../media/image21.emf"/><Relationship Id="rId3" Type="http://schemas.openxmlformats.org/officeDocument/2006/relationships/image" Target="../media/image3.wmf"/><Relationship Id="rId21" Type="http://schemas.openxmlformats.org/officeDocument/2006/relationships/image" Target="../media/image24.emf"/><Relationship Id="rId7" Type="http://schemas.openxmlformats.org/officeDocument/2006/relationships/image" Target="../media/image10.emf"/><Relationship Id="rId12" Type="http://schemas.openxmlformats.org/officeDocument/2006/relationships/image" Target="../media/image15.emf"/><Relationship Id="rId17" Type="http://schemas.openxmlformats.org/officeDocument/2006/relationships/image" Target="../media/image20.emf"/><Relationship Id="rId2" Type="http://schemas.openxmlformats.org/officeDocument/2006/relationships/image" Target="../media/image6.wmf"/><Relationship Id="rId16" Type="http://schemas.openxmlformats.org/officeDocument/2006/relationships/image" Target="../media/image19.emf"/><Relationship Id="rId20" Type="http://schemas.openxmlformats.org/officeDocument/2006/relationships/image" Target="../media/image23.emf"/><Relationship Id="rId1" Type="http://schemas.openxmlformats.org/officeDocument/2006/relationships/image" Target="../media/image5.wmf"/><Relationship Id="rId6" Type="http://schemas.openxmlformats.org/officeDocument/2006/relationships/image" Target="../media/image9.emf"/><Relationship Id="rId11" Type="http://schemas.openxmlformats.org/officeDocument/2006/relationships/image" Target="../media/image14.emf"/><Relationship Id="rId5" Type="http://schemas.openxmlformats.org/officeDocument/2006/relationships/image" Target="../media/image8.emf"/><Relationship Id="rId15" Type="http://schemas.openxmlformats.org/officeDocument/2006/relationships/image" Target="../media/image18.emf"/><Relationship Id="rId10" Type="http://schemas.openxmlformats.org/officeDocument/2006/relationships/image" Target="../media/image13.emf"/><Relationship Id="rId19" Type="http://schemas.openxmlformats.org/officeDocument/2006/relationships/image" Target="../media/image22.emf"/><Relationship Id="rId4" Type="http://schemas.openxmlformats.org/officeDocument/2006/relationships/image" Target="../media/image4.wmf"/><Relationship Id="rId9" Type="http://schemas.openxmlformats.org/officeDocument/2006/relationships/image" Target="../media/image12.emf"/><Relationship Id="rId14" Type="http://schemas.openxmlformats.org/officeDocument/2006/relationships/image" Target="../media/image17.emf"/><Relationship Id="rId22" Type="http://schemas.openxmlformats.org/officeDocument/2006/relationships/image" Target="../media/image2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76200</xdr:rowOff>
    </xdr:from>
    <xdr:to>
      <xdr:col>8</xdr:col>
      <xdr:colOff>228600</xdr:colOff>
      <xdr:row>11</xdr:row>
      <xdr:rowOff>9525</xdr:rowOff>
    </xdr:to>
    <xdr:pic>
      <xdr:nvPicPr>
        <xdr:cNvPr id="17546" name="Picture 1" descr="JC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6275" y="238125"/>
          <a:ext cx="4429125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318</xdr:row>
      <xdr:rowOff>104775</xdr:rowOff>
    </xdr:from>
    <xdr:to>
      <xdr:col>5</xdr:col>
      <xdr:colOff>161925</xdr:colOff>
      <xdr:row>324</xdr:row>
      <xdr:rowOff>152400</xdr:rowOff>
    </xdr:to>
    <xdr:pic>
      <xdr:nvPicPr>
        <xdr:cNvPr id="3485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19300" y="42862500"/>
          <a:ext cx="15144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2.bin"/><Relationship Id="rId13" Type="http://schemas.openxmlformats.org/officeDocument/2006/relationships/oleObject" Target="../embeddings/oleObject17.bin"/><Relationship Id="rId18" Type="http://schemas.openxmlformats.org/officeDocument/2006/relationships/oleObject" Target="../embeddings/oleObject22.bin"/><Relationship Id="rId26" Type="http://schemas.openxmlformats.org/officeDocument/2006/relationships/comments" Target="../comments1.xml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25.bin"/><Relationship Id="rId7" Type="http://schemas.openxmlformats.org/officeDocument/2006/relationships/oleObject" Target="../embeddings/oleObject11.bin"/><Relationship Id="rId12" Type="http://schemas.openxmlformats.org/officeDocument/2006/relationships/oleObject" Target="../embeddings/oleObject16.bin"/><Relationship Id="rId17" Type="http://schemas.openxmlformats.org/officeDocument/2006/relationships/oleObject" Target="../embeddings/oleObject21.bin"/><Relationship Id="rId25" Type="http://schemas.openxmlformats.org/officeDocument/2006/relationships/oleObject" Target="../embeddings/oleObject29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20.bin"/><Relationship Id="rId20" Type="http://schemas.openxmlformats.org/officeDocument/2006/relationships/oleObject" Target="../embeddings/oleObject24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0.bin"/><Relationship Id="rId11" Type="http://schemas.openxmlformats.org/officeDocument/2006/relationships/oleObject" Target="../embeddings/oleObject15.bin"/><Relationship Id="rId24" Type="http://schemas.openxmlformats.org/officeDocument/2006/relationships/oleObject" Target="../embeddings/oleObject28.bin"/><Relationship Id="rId5" Type="http://schemas.openxmlformats.org/officeDocument/2006/relationships/oleObject" Target="../embeddings/oleObject9.bin"/><Relationship Id="rId15" Type="http://schemas.openxmlformats.org/officeDocument/2006/relationships/oleObject" Target="../embeddings/oleObject19.bin"/><Relationship Id="rId23" Type="http://schemas.openxmlformats.org/officeDocument/2006/relationships/oleObject" Target="../embeddings/oleObject27.bin"/><Relationship Id="rId10" Type="http://schemas.openxmlformats.org/officeDocument/2006/relationships/oleObject" Target="../embeddings/oleObject14.bin"/><Relationship Id="rId19" Type="http://schemas.openxmlformats.org/officeDocument/2006/relationships/oleObject" Target="../embeddings/oleObject23.bin"/><Relationship Id="rId4" Type="http://schemas.openxmlformats.org/officeDocument/2006/relationships/oleObject" Target="../embeddings/oleObject8.bin"/><Relationship Id="rId9" Type="http://schemas.openxmlformats.org/officeDocument/2006/relationships/oleObject" Target="../embeddings/oleObject13.bin"/><Relationship Id="rId14" Type="http://schemas.openxmlformats.org/officeDocument/2006/relationships/oleObject" Target="../embeddings/oleObject18.bin"/><Relationship Id="rId22" Type="http://schemas.openxmlformats.org/officeDocument/2006/relationships/oleObject" Target="../embeddings/oleObject2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3:I58"/>
  <sheetViews>
    <sheetView tabSelected="1" view="pageBreakPreview" zoomScaleNormal="100" zoomScaleSheetLayoutView="100" workbookViewId="0">
      <selection activeCell="A19" sqref="A19"/>
    </sheetView>
  </sheetViews>
  <sheetFormatPr defaultRowHeight="12.75"/>
  <sheetData>
    <row r="13" spans="1:9">
      <c r="A13" s="105" t="s">
        <v>208</v>
      </c>
      <c r="B13" s="105"/>
      <c r="C13" s="105"/>
      <c r="D13" s="105"/>
      <c r="E13" s="105"/>
      <c r="F13" s="105"/>
      <c r="G13" s="105"/>
      <c r="H13" s="105"/>
      <c r="I13" s="105"/>
    </row>
    <row r="14" spans="1:9">
      <c r="A14" s="105" t="s">
        <v>209</v>
      </c>
      <c r="B14" s="105"/>
      <c r="C14" s="105"/>
      <c r="D14" s="105"/>
      <c r="E14" s="105"/>
      <c r="F14" s="105"/>
      <c r="G14" s="105"/>
      <c r="H14" s="105"/>
      <c r="I14" s="105"/>
    </row>
    <row r="15" spans="1:9">
      <c r="A15" s="105" t="s">
        <v>186</v>
      </c>
      <c r="B15" s="105"/>
      <c r="C15" s="105"/>
      <c r="D15" s="105"/>
      <c r="E15" s="105"/>
      <c r="F15" s="105"/>
      <c r="G15" s="105"/>
      <c r="H15" s="105"/>
      <c r="I15" s="105"/>
    </row>
    <row r="16" spans="1:9">
      <c r="A16" s="105" t="s">
        <v>187</v>
      </c>
      <c r="B16" s="105"/>
      <c r="C16" s="105"/>
      <c r="D16" s="105"/>
      <c r="E16" s="105"/>
      <c r="F16" s="105"/>
      <c r="G16" s="105"/>
      <c r="H16" s="105"/>
      <c r="I16" s="105"/>
    </row>
    <row r="17" spans="1:9" ht="5.0999999999999996" customHeight="1"/>
    <row r="18" spans="1:9" ht="5.0999999999999996" customHeight="1">
      <c r="A18" s="83"/>
      <c r="B18" s="83"/>
      <c r="C18" s="83"/>
      <c r="D18" s="83"/>
      <c r="E18" s="83"/>
      <c r="F18" s="83"/>
      <c r="G18" s="83"/>
      <c r="H18" s="83"/>
      <c r="I18" s="83"/>
    </row>
    <row r="23" spans="1:9" hidden="1"/>
    <row r="24" spans="1:9" hidden="1"/>
    <row r="27" spans="1:9">
      <c r="A27" s="106" t="s">
        <v>219</v>
      </c>
      <c r="B27" s="107"/>
      <c r="C27" s="107"/>
      <c r="D27" s="107"/>
      <c r="E27" s="107"/>
      <c r="F27" s="107"/>
      <c r="G27" s="107"/>
      <c r="H27" s="107"/>
      <c r="I27" s="107"/>
    </row>
    <row r="28" spans="1:9" ht="12.75" customHeight="1">
      <c r="A28" s="107"/>
      <c r="B28" s="107"/>
      <c r="C28" s="107"/>
      <c r="D28" s="107"/>
      <c r="E28" s="107"/>
      <c r="F28" s="107"/>
      <c r="G28" s="107"/>
      <c r="H28" s="107"/>
      <c r="I28" s="107"/>
    </row>
    <row r="29" spans="1:9" ht="32.25" customHeight="1">
      <c r="A29" s="107"/>
      <c r="B29" s="107"/>
      <c r="C29" s="107"/>
      <c r="D29" s="107"/>
      <c r="E29" s="107"/>
      <c r="F29" s="107"/>
      <c r="G29" s="107"/>
      <c r="H29" s="107"/>
      <c r="I29" s="107"/>
    </row>
    <row r="30" spans="1:9" ht="32.25" customHeight="1">
      <c r="A30" s="107"/>
      <c r="B30" s="107"/>
      <c r="C30" s="107"/>
      <c r="D30" s="107"/>
      <c r="E30" s="107"/>
      <c r="F30" s="107"/>
      <c r="G30" s="107"/>
      <c r="H30" s="107"/>
      <c r="I30" s="107"/>
    </row>
    <row r="31" spans="1:9" ht="12.75" customHeight="1">
      <c r="A31" s="84"/>
      <c r="B31" s="85"/>
      <c r="C31" s="85"/>
      <c r="D31" s="85"/>
      <c r="E31" s="85"/>
      <c r="F31" s="85"/>
      <c r="G31" s="85"/>
      <c r="H31" s="85"/>
      <c r="I31" s="85"/>
    </row>
    <row r="32" spans="1:9" ht="12.75" customHeight="1">
      <c r="A32" s="84"/>
      <c r="B32" s="85"/>
      <c r="C32" s="85"/>
      <c r="D32" s="85"/>
      <c r="E32" s="85"/>
      <c r="F32" s="85"/>
      <c r="G32" s="85"/>
      <c r="H32" s="85"/>
      <c r="I32" s="85"/>
    </row>
    <row r="33" spans="1:9" ht="12.75" customHeight="1">
      <c r="A33" s="84"/>
      <c r="B33" s="85"/>
      <c r="C33" s="85"/>
      <c r="D33" s="85"/>
      <c r="E33" s="85"/>
      <c r="F33" s="85"/>
      <c r="G33" s="85"/>
      <c r="H33" s="85"/>
      <c r="I33" s="85"/>
    </row>
    <row r="34" spans="1:9" ht="12.75" customHeight="1">
      <c r="A34" s="84"/>
      <c r="B34" s="85"/>
      <c r="C34" s="85"/>
      <c r="D34" s="85"/>
      <c r="E34" s="85"/>
      <c r="F34" s="85"/>
      <c r="G34" s="85"/>
      <c r="H34" s="85"/>
      <c r="I34" s="85"/>
    </row>
    <row r="35" spans="1:9" ht="12.75" customHeight="1">
      <c r="A35" s="108" t="s">
        <v>248</v>
      </c>
      <c r="B35" s="109"/>
      <c r="C35" s="109"/>
      <c r="D35" s="109"/>
      <c r="E35" s="109"/>
      <c r="F35" s="109"/>
      <c r="G35" s="109"/>
      <c r="H35" s="109"/>
      <c r="I35" s="109"/>
    </row>
    <row r="36" spans="1:9">
      <c r="A36" s="109"/>
      <c r="B36" s="109"/>
      <c r="C36" s="109"/>
      <c r="D36" s="109"/>
      <c r="E36" s="109"/>
      <c r="F36" s="109"/>
      <c r="G36" s="109"/>
      <c r="H36" s="109"/>
      <c r="I36" s="109"/>
    </row>
    <row r="37" spans="1:9">
      <c r="A37" s="109"/>
      <c r="B37" s="109"/>
      <c r="C37" s="109"/>
      <c r="D37" s="109"/>
      <c r="E37" s="109"/>
      <c r="F37" s="109"/>
      <c r="G37" s="109"/>
      <c r="H37" s="109"/>
      <c r="I37" s="109"/>
    </row>
    <row r="43" spans="1:9" ht="5.0999999999999996" customHeight="1">
      <c r="A43" s="83"/>
      <c r="B43" s="83"/>
      <c r="C43" s="83"/>
      <c r="D43" s="83"/>
      <c r="E43" s="83"/>
      <c r="F43" s="83"/>
      <c r="G43" s="83"/>
      <c r="H43" s="83"/>
      <c r="I43" s="83"/>
    </row>
    <row r="44" spans="1:9" ht="26.25">
      <c r="A44" s="86" t="s">
        <v>0</v>
      </c>
      <c r="B44" s="85"/>
      <c r="C44" s="85"/>
      <c r="D44" s="85"/>
      <c r="E44" s="85"/>
      <c r="F44" s="85"/>
      <c r="G44" s="85"/>
      <c r="H44" s="85"/>
      <c r="I44" s="85"/>
    </row>
    <row r="45" spans="1:9" ht="5.0999999999999996" customHeight="1">
      <c r="A45" s="83"/>
      <c r="B45" s="83"/>
      <c r="C45" s="83"/>
      <c r="D45" s="83"/>
      <c r="E45" s="83"/>
      <c r="F45" s="83"/>
      <c r="G45" s="83"/>
      <c r="H45" s="83"/>
      <c r="I45" s="83"/>
    </row>
    <row r="47" spans="1:9">
      <c r="A47" s="104" t="s">
        <v>188</v>
      </c>
      <c r="B47" s="104"/>
      <c r="C47" s="104"/>
      <c r="D47" s="104" t="s">
        <v>189</v>
      </c>
      <c r="E47" s="104"/>
      <c r="F47" s="104" t="s">
        <v>190</v>
      </c>
      <c r="G47" s="104"/>
      <c r="H47" s="104" t="s">
        <v>191</v>
      </c>
      <c r="I47" s="104"/>
    </row>
    <row r="48" spans="1:9" s="91" customFormat="1" ht="37.5" customHeight="1">
      <c r="A48" s="102" t="s">
        <v>218</v>
      </c>
      <c r="B48" s="102"/>
      <c r="C48" s="102"/>
      <c r="D48" s="103" t="s">
        <v>192</v>
      </c>
      <c r="E48" s="103"/>
      <c r="F48" s="103" t="s">
        <v>249</v>
      </c>
      <c r="G48" s="103"/>
      <c r="H48" s="103" t="s">
        <v>250</v>
      </c>
      <c r="I48" s="103"/>
    </row>
    <row r="51" spans="1:9" s="4" customFormat="1"/>
    <row r="52" spans="1:9" s="4" customFormat="1"/>
    <row r="53" spans="1:9" s="4" customFormat="1">
      <c r="C53" s="6"/>
      <c r="D53" s="6"/>
      <c r="E53" s="6"/>
      <c r="F53" s="6"/>
      <c r="G53" s="6"/>
      <c r="H53" s="6"/>
      <c r="I53" s="6"/>
    </row>
    <row r="54" spans="1:9" s="4" customFormat="1">
      <c r="C54" s="6"/>
      <c r="D54" s="6"/>
      <c r="E54" s="6"/>
      <c r="F54" s="6"/>
      <c r="G54" s="6"/>
      <c r="H54" s="6"/>
      <c r="I54" s="6"/>
    </row>
    <row r="55" spans="1:9" s="4" customFormat="1">
      <c r="C55" s="6"/>
      <c r="D55" s="6"/>
      <c r="E55" s="6"/>
      <c r="F55" s="6"/>
      <c r="G55" s="6"/>
      <c r="H55" s="6"/>
      <c r="I55" s="6"/>
    </row>
    <row r="56" spans="1:9" s="4" customFormat="1">
      <c r="C56" s="6"/>
      <c r="D56" s="6"/>
      <c r="E56" s="6"/>
      <c r="F56" s="6"/>
      <c r="G56" s="6"/>
      <c r="H56" s="6"/>
      <c r="I56" s="6"/>
    </row>
    <row r="57" spans="1:9" s="4" customFormat="1">
      <c r="A57" s="7"/>
    </row>
    <row r="58" spans="1:9" s="4" customFormat="1"/>
  </sheetData>
  <mergeCells count="14">
    <mergeCell ref="A13:I13"/>
    <mergeCell ref="A15:I15"/>
    <mergeCell ref="A27:I30"/>
    <mergeCell ref="A14:I14"/>
    <mergeCell ref="A16:I16"/>
    <mergeCell ref="A47:C47"/>
    <mergeCell ref="A35:I37"/>
    <mergeCell ref="A48:C48"/>
    <mergeCell ref="D48:E48"/>
    <mergeCell ref="F48:G48"/>
    <mergeCell ref="H48:I48"/>
    <mergeCell ref="D47:E47"/>
    <mergeCell ref="F47:G47"/>
    <mergeCell ref="H47:I47"/>
  </mergeCells>
  <phoneticPr fontId="0" type="noConversion"/>
  <pageMargins left="0.78740157499999996" right="0.78740157499999996" top="0.984251969" bottom="0.984251969" header="0.49212598499999999" footer="0.49212598499999999"/>
  <pageSetup orientation="portrait" horizontalDpi="300" verticalDpi="300" r:id="rId1"/>
  <headerFooter alignWithMargins="0"/>
  <drawing r:id="rId2"/>
  <legacyDrawing r:id="rId3"/>
  <oleObjects>
    <oleObject progId="Equation.3" shapeId="17410" r:id="rId4"/>
    <oleObject progId="Equation.3" shapeId="17411" r:id="rId5"/>
    <oleObject progId="Equation.3" shapeId="17412" r:id="rId6"/>
    <oleObject progId="Equation.3" shapeId="17413" r:id="rId7"/>
    <oleObject progId="Equation.3" shapeId="17415" r:id="rId8"/>
    <oleObject progId="Equation.3" shapeId="17418" r:id="rId9"/>
    <oleObject progId="Equation.3" shapeId="17419" r:id="rId10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2:K328"/>
  <sheetViews>
    <sheetView view="pageBreakPreview" zoomScale="115" zoomScaleNormal="100" zoomScaleSheetLayoutView="115" workbookViewId="0">
      <selection activeCell="F280" sqref="F280"/>
    </sheetView>
  </sheetViews>
  <sheetFormatPr defaultRowHeight="12.75"/>
  <cols>
    <col min="1" max="2" width="9.7109375" style="4" customWidth="1"/>
    <col min="3" max="3" width="10.5703125" style="4" customWidth="1"/>
    <col min="4" max="4" width="10.85546875" style="4" bestFit="1" customWidth="1"/>
    <col min="5" max="5" width="9.7109375" style="4" customWidth="1"/>
    <col min="6" max="6" width="9.42578125" style="4" bestFit="1" customWidth="1"/>
    <col min="7" max="7" width="11.85546875" style="4" bestFit="1" customWidth="1"/>
    <col min="8" max="8" width="10.42578125" style="4" customWidth="1"/>
    <col min="9" max="10" width="9.140625" style="4"/>
    <col min="11" max="11" width="12" style="4" bestFit="1" customWidth="1"/>
    <col min="12" max="16384" width="9.140625" style="4"/>
  </cols>
  <sheetData>
    <row r="2" spans="1:9" hidden="1">
      <c r="A2" s="76"/>
    </row>
    <row r="3" spans="1:9">
      <c r="A3" s="97" t="s">
        <v>245</v>
      </c>
      <c r="B3" s="97"/>
      <c r="C3" s="97"/>
      <c r="D3" s="97"/>
      <c r="E3" s="97"/>
      <c r="F3" s="97"/>
      <c r="G3" s="97"/>
      <c r="H3" s="98"/>
      <c r="I3" s="98"/>
    </row>
    <row r="4" spans="1:9">
      <c r="A4" s="99"/>
      <c r="B4" s="99"/>
      <c r="C4" s="115"/>
      <c r="D4" s="115"/>
      <c r="E4" s="115"/>
      <c r="F4" s="115"/>
      <c r="G4" s="115"/>
      <c r="H4" s="98"/>
      <c r="I4" s="98"/>
    </row>
    <row r="5" spans="1:9" hidden="1">
      <c r="A5" s="100"/>
      <c r="B5" s="100"/>
      <c r="C5" s="1"/>
      <c r="D5" s="1"/>
      <c r="E5" s="1"/>
      <c r="F5" s="18"/>
      <c r="G5" s="18"/>
      <c r="H5" s="18"/>
      <c r="I5" s="18"/>
    </row>
    <row r="6" spans="1:9" ht="15.75" customHeight="1">
      <c r="A6" s="97" t="s">
        <v>221</v>
      </c>
      <c r="B6" s="97"/>
      <c r="C6" s="97"/>
      <c r="D6" s="97"/>
      <c r="E6" s="97"/>
      <c r="F6" s="97"/>
      <c r="G6" s="97"/>
      <c r="H6" s="97"/>
      <c r="I6" s="97"/>
    </row>
    <row r="8" spans="1:9">
      <c r="A8" s="112" t="s">
        <v>223</v>
      </c>
      <c r="B8" s="112"/>
      <c r="C8" s="112"/>
      <c r="D8" s="112"/>
    </row>
    <row r="9" spans="1:9" ht="6" customHeight="1"/>
    <row r="10" spans="1:9">
      <c r="B10" s="3" t="s">
        <v>4</v>
      </c>
      <c r="C10" s="3"/>
      <c r="D10" s="3"/>
      <c r="E10" s="3"/>
      <c r="F10" s="7" t="s">
        <v>5</v>
      </c>
      <c r="G10" s="46">
        <v>40.15</v>
      </c>
      <c r="H10" s="4" t="s">
        <v>6</v>
      </c>
    </row>
    <row r="11" spans="1:9" ht="6" customHeight="1">
      <c r="C11" s="8"/>
      <c r="D11" s="6"/>
      <c r="E11" s="6"/>
    </row>
    <row r="12" spans="1:9">
      <c r="B12" s="3" t="s">
        <v>7</v>
      </c>
      <c r="C12" s="3"/>
      <c r="D12" s="3"/>
      <c r="E12" s="3"/>
      <c r="F12" s="7" t="s">
        <v>8</v>
      </c>
      <c r="G12" s="46">
        <v>13.9</v>
      </c>
      <c r="H12" s="4" t="s">
        <v>6</v>
      </c>
    </row>
    <row r="13" spans="1:9" ht="6" customHeight="1">
      <c r="C13" s="8"/>
      <c r="D13" s="6"/>
      <c r="E13" s="6"/>
      <c r="F13" s="8"/>
      <c r="G13" s="6"/>
      <c r="H13" s="6"/>
    </row>
    <row r="14" spans="1:9">
      <c r="B14" s="3" t="s">
        <v>151</v>
      </c>
      <c r="C14" s="3"/>
      <c r="D14" s="3"/>
      <c r="E14" s="3"/>
      <c r="F14" s="7" t="s">
        <v>9</v>
      </c>
      <c r="G14" s="9">
        <f>G10*G12</f>
        <v>558.08500000000004</v>
      </c>
      <c r="H14" s="4" t="s">
        <v>210</v>
      </c>
    </row>
    <row r="15" spans="1:9" ht="6" customHeight="1"/>
    <row r="16" spans="1:9">
      <c r="B16" s="3" t="s">
        <v>152</v>
      </c>
      <c r="C16" s="3"/>
      <c r="D16" s="3"/>
      <c r="E16" s="3"/>
      <c r="F16" s="7" t="s">
        <v>20</v>
      </c>
      <c r="G16" s="46">
        <v>20.54</v>
      </c>
      <c r="H16" s="4" t="s">
        <v>6</v>
      </c>
    </row>
    <row r="17" spans="1:9" ht="6" customHeight="1"/>
    <row r="18" spans="1:9">
      <c r="B18" s="3" t="s">
        <v>153</v>
      </c>
      <c r="C18" s="3"/>
      <c r="D18" s="3"/>
      <c r="E18" s="3"/>
      <c r="F18" s="7" t="s">
        <v>21</v>
      </c>
      <c r="G18" s="9">
        <f>G14*G16</f>
        <v>11463.0659</v>
      </c>
      <c r="H18" s="4" t="s">
        <v>211</v>
      </c>
    </row>
    <row r="20" spans="1:9">
      <c r="A20" s="112" t="s">
        <v>224</v>
      </c>
      <c r="B20" s="112"/>
      <c r="C20" s="112"/>
      <c r="D20" s="112"/>
      <c r="E20" s="112"/>
      <c r="F20" s="112"/>
      <c r="G20" s="112"/>
      <c r="H20" s="112"/>
    </row>
    <row r="21" spans="1:9" ht="6" customHeight="1"/>
    <row r="22" spans="1:9">
      <c r="B22" s="3" t="s">
        <v>11</v>
      </c>
      <c r="C22" s="3"/>
      <c r="D22" s="3"/>
      <c r="E22" s="10" t="s">
        <v>172</v>
      </c>
      <c r="F22" s="3"/>
      <c r="G22" s="11"/>
    </row>
    <row r="23" spans="1:9">
      <c r="C23" s="141" t="s">
        <v>212</v>
      </c>
      <c r="D23" s="141"/>
      <c r="E23" s="141"/>
      <c r="F23" s="141"/>
      <c r="G23" s="141"/>
      <c r="H23" s="141"/>
    </row>
    <row r="24" spans="1:9" ht="6" customHeight="1"/>
    <row r="25" spans="1:9">
      <c r="B25" s="3" t="s">
        <v>12</v>
      </c>
      <c r="C25" s="3"/>
      <c r="D25" s="3"/>
      <c r="E25" s="10" t="s">
        <v>172</v>
      </c>
      <c r="F25" s="3"/>
      <c r="G25" s="11"/>
    </row>
    <row r="26" spans="1:9">
      <c r="C26" s="141" t="s">
        <v>213</v>
      </c>
      <c r="D26" s="141"/>
      <c r="E26" s="141"/>
      <c r="F26" s="141"/>
      <c r="G26" s="141"/>
      <c r="H26" s="141"/>
      <c r="I26" s="90"/>
    </row>
    <row r="27" spans="1:9" ht="6" customHeight="1"/>
    <row r="28" spans="1:9">
      <c r="B28" s="3" t="s">
        <v>222</v>
      </c>
      <c r="C28" s="3"/>
      <c r="D28" s="3"/>
      <c r="E28" s="10"/>
      <c r="F28" s="3"/>
      <c r="G28" s="11"/>
    </row>
    <row r="29" spans="1:9" hidden="1">
      <c r="B29" s="3"/>
      <c r="C29" s="10"/>
      <c r="D29" s="3"/>
      <c r="E29" s="10"/>
      <c r="F29" s="3"/>
      <c r="G29" s="11"/>
    </row>
    <row r="30" spans="1:9">
      <c r="C30" s="142" t="s">
        <v>182</v>
      </c>
      <c r="D30" s="143"/>
      <c r="E30" s="143"/>
      <c r="F30" s="143"/>
      <c r="G30" s="143"/>
      <c r="H30" s="144"/>
    </row>
    <row r="31" spans="1:9" ht="6" customHeight="1">
      <c r="C31" s="1"/>
      <c r="D31" s="12"/>
      <c r="E31" s="6"/>
      <c r="F31" s="8"/>
      <c r="G31" s="12"/>
      <c r="H31" s="6"/>
    </row>
    <row r="32" spans="1:9" ht="13.5" thickBot="1">
      <c r="B32" s="10" t="s">
        <v>173</v>
      </c>
      <c r="C32" s="1"/>
      <c r="D32" s="12"/>
      <c r="E32" s="6"/>
      <c r="F32" s="8"/>
      <c r="G32" s="12"/>
      <c r="H32" s="6"/>
    </row>
    <row r="33" spans="1:9" ht="13.5" thickBot="1">
      <c r="C33" s="13" t="s">
        <v>13</v>
      </c>
      <c r="D33" s="14"/>
      <c r="E33" s="69">
        <v>2</v>
      </c>
    </row>
    <row r="35" spans="1:9">
      <c r="A35" s="112" t="s">
        <v>225</v>
      </c>
      <c r="B35" s="112"/>
      <c r="C35" s="112"/>
      <c r="D35" s="112"/>
      <c r="E35" s="112"/>
      <c r="F35" s="112"/>
    </row>
    <row r="36" spans="1:9" ht="6" customHeight="1"/>
    <row r="37" spans="1:9">
      <c r="B37" s="3" t="s">
        <v>15</v>
      </c>
      <c r="C37" s="3"/>
      <c r="D37" s="3"/>
      <c r="E37" s="3"/>
      <c r="F37" s="3"/>
      <c r="G37" s="11"/>
    </row>
    <row r="38" spans="1:9" ht="6" customHeight="1">
      <c r="C38" s="8"/>
      <c r="D38" s="15"/>
      <c r="E38" s="6"/>
      <c r="F38" s="8"/>
      <c r="G38" s="12"/>
      <c r="H38" s="6"/>
    </row>
    <row r="39" spans="1:9">
      <c r="C39" s="8"/>
      <c r="D39" s="15"/>
      <c r="E39" s="16" t="s">
        <v>1</v>
      </c>
      <c r="F39" s="10" t="s">
        <v>17</v>
      </c>
      <c r="G39" s="17"/>
      <c r="H39" s="18"/>
      <c r="I39" s="18"/>
    </row>
    <row r="40" spans="1:9">
      <c r="E40" s="6"/>
      <c r="F40" s="7" t="s">
        <v>18</v>
      </c>
      <c r="G40" s="50">
        <v>10</v>
      </c>
      <c r="H40" s="4" t="s">
        <v>214</v>
      </c>
    </row>
    <row r="41" spans="1:9">
      <c r="B41" s="19" t="s">
        <v>16</v>
      </c>
      <c r="C41" s="20">
        <f>(0.04)*(POWER(G40,1.25))</f>
        <v>0.71131176401556939</v>
      </c>
      <c r="D41" s="21" t="s">
        <v>183</v>
      </c>
      <c r="E41" s="22"/>
      <c r="F41" s="7"/>
      <c r="G41" s="23"/>
    </row>
    <row r="42" spans="1:9" ht="6" customHeight="1"/>
    <row r="43" spans="1:9">
      <c r="B43" s="3" t="s">
        <v>19</v>
      </c>
      <c r="C43" s="3"/>
      <c r="D43" s="3"/>
      <c r="E43" s="3"/>
      <c r="F43" s="3"/>
      <c r="G43" s="11"/>
    </row>
    <row r="44" spans="1:9" ht="6" customHeight="1">
      <c r="C44" s="8"/>
      <c r="D44" s="15"/>
      <c r="E44" s="6"/>
      <c r="F44" s="8"/>
      <c r="G44" s="12"/>
      <c r="H44" s="6"/>
    </row>
    <row r="45" spans="1:9">
      <c r="G45" s="19" t="s">
        <v>22</v>
      </c>
      <c r="H45" s="20">
        <f>(G10*G12)+(2*G10*G16)+(2*G12*G16)+((PI())*G16*G16)</f>
        <v>4103.8705511712433</v>
      </c>
      <c r="I45" s="22" t="s">
        <v>10</v>
      </c>
    </row>
    <row r="46" spans="1:9" ht="6" customHeight="1"/>
    <row r="47" spans="1:9">
      <c r="B47" s="3" t="s">
        <v>23</v>
      </c>
      <c r="C47" s="3"/>
      <c r="D47" s="3"/>
      <c r="E47" s="3"/>
    </row>
    <row r="48" spans="1:9" ht="6" customHeight="1"/>
    <row r="49" spans="2:9">
      <c r="F49" s="19" t="s">
        <v>24</v>
      </c>
      <c r="G49" s="24">
        <f>C41*H45*0.000001</f>
        <v>2.9191314010451642E-3</v>
      </c>
      <c r="H49" s="22" t="s">
        <v>25</v>
      </c>
    </row>
    <row r="50" spans="2:9" ht="6" customHeight="1"/>
    <row r="51" spans="2:9">
      <c r="B51" s="3" t="s">
        <v>26</v>
      </c>
    </row>
    <row r="53" spans="2:9" ht="8.1" customHeight="1"/>
    <row r="54" spans="2:9">
      <c r="B54" s="16" t="s">
        <v>1</v>
      </c>
      <c r="C54" s="17" t="s">
        <v>174</v>
      </c>
      <c r="D54" s="17"/>
      <c r="E54" s="18"/>
      <c r="F54" s="18"/>
    </row>
    <row r="55" spans="2:9">
      <c r="B55" s="6"/>
      <c r="C55" s="17" t="s">
        <v>175</v>
      </c>
      <c r="D55" s="23"/>
    </row>
    <row r="56" spans="2:9">
      <c r="C56" s="17" t="s">
        <v>176</v>
      </c>
    </row>
    <row r="57" spans="2:9">
      <c r="C57" s="17" t="s">
        <v>177</v>
      </c>
    </row>
    <row r="58" spans="2:9">
      <c r="C58" s="17" t="s">
        <v>178</v>
      </c>
    </row>
    <row r="59" spans="2:9" ht="3.95" customHeight="1">
      <c r="C59" s="17"/>
    </row>
    <row r="60" spans="2:9">
      <c r="B60" s="16" t="s">
        <v>30</v>
      </c>
      <c r="C60" s="17"/>
    </row>
    <row r="61" spans="2:9">
      <c r="C61" s="25" t="s">
        <v>27</v>
      </c>
      <c r="D61" s="70">
        <v>1.7</v>
      </c>
      <c r="E61" s="134" t="s">
        <v>215</v>
      </c>
      <c r="F61" s="135"/>
      <c r="G61" s="135"/>
      <c r="H61" s="135"/>
      <c r="I61" s="135"/>
    </row>
    <row r="62" spans="2:9">
      <c r="C62" s="25"/>
      <c r="D62" s="89"/>
      <c r="E62" s="88"/>
      <c r="F62" s="88"/>
      <c r="G62" s="88"/>
      <c r="H62" s="88"/>
      <c r="I62" s="88"/>
    </row>
    <row r="63" spans="2:9">
      <c r="C63" s="25" t="s">
        <v>28</v>
      </c>
      <c r="D63" s="70">
        <v>0.4</v>
      </c>
      <c r="E63" s="134" t="s">
        <v>216</v>
      </c>
      <c r="F63" s="135"/>
      <c r="G63" s="135"/>
      <c r="H63" s="135"/>
      <c r="I63" s="135"/>
    </row>
    <row r="64" spans="2:9">
      <c r="C64" s="25"/>
      <c r="D64" s="26"/>
      <c r="E64" s="88" t="s">
        <v>217</v>
      </c>
      <c r="F64" s="88"/>
      <c r="G64" s="88"/>
      <c r="H64" s="88"/>
      <c r="I64" s="88"/>
    </row>
    <row r="65" spans="2:9">
      <c r="C65" s="25" t="s">
        <v>5</v>
      </c>
      <c r="D65" s="70">
        <v>1.7</v>
      </c>
      <c r="E65" s="134" t="s">
        <v>206</v>
      </c>
      <c r="F65" s="135"/>
      <c r="G65" s="135"/>
      <c r="H65" s="135"/>
      <c r="I65" s="135"/>
    </row>
    <row r="66" spans="2:9">
      <c r="C66" s="26"/>
      <c r="D66" s="26"/>
      <c r="E66" s="135" t="s">
        <v>207</v>
      </c>
      <c r="F66" s="135"/>
      <c r="G66" s="135"/>
      <c r="H66" s="135"/>
      <c r="I66" s="135"/>
    </row>
    <row r="67" spans="2:9">
      <c r="C67" s="25" t="s">
        <v>3</v>
      </c>
      <c r="D67" s="70">
        <v>0.4</v>
      </c>
      <c r="E67" s="139" t="s">
        <v>204</v>
      </c>
      <c r="F67" s="135"/>
      <c r="G67" s="135"/>
      <c r="H67" s="135"/>
      <c r="I67" s="135"/>
    </row>
    <row r="68" spans="2:9">
      <c r="C68" s="26"/>
      <c r="D68" s="26"/>
      <c r="E68" s="140" t="s">
        <v>205</v>
      </c>
      <c r="F68" s="135"/>
      <c r="G68" s="135"/>
      <c r="H68" s="135"/>
      <c r="I68" s="135"/>
    </row>
    <row r="69" spans="2:9">
      <c r="C69" s="25" t="s">
        <v>29</v>
      </c>
      <c r="D69" s="70">
        <v>0.3</v>
      </c>
      <c r="E69" s="134" t="s">
        <v>171</v>
      </c>
      <c r="F69" s="135"/>
      <c r="G69" s="135"/>
      <c r="H69" s="135"/>
      <c r="I69" s="135"/>
    </row>
    <row r="71" spans="2:9">
      <c r="B71" s="16" t="s">
        <v>31</v>
      </c>
      <c r="C71" s="27" t="s">
        <v>32</v>
      </c>
      <c r="D71" s="28">
        <f>D61*D63*D65*D67*D69</f>
        <v>0.13872000000000001</v>
      </c>
    </row>
    <row r="72" spans="2:9" ht="8.1" customHeight="1"/>
    <row r="73" spans="2:9">
      <c r="B73" s="3" t="s">
        <v>33</v>
      </c>
    </row>
    <row r="74" spans="2:9" ht="6" customHeight="1"/>
    <row r="75" spans="2:9">
      <c r="E75" s="19" t="s">
        <v>34</v>
      </c>
      <c r="F75" s="24">
        <f>G49*D71</f>
        <v>4.0494190795298523E-4</v>
      </c>
      <c r="G75" s="22" t="s">
        <v>25</v>
      </c>
    </row>
    <row r="76" spans="2:9" ht="6" customHeight="1"/>
    <row r="77" spans="2:9">
      <c r="B77" s="3" t="s">
        <v>35</v>
      </c>
    </row>
    <row r="78" spans="2:9">
      <c r="C78" s="4" t="s">
        <v>180</v>
      </c>
    </row>
    <row r="79" spans="2:9">
      <c r="C79" s="4" t="s">
        <v>37</v>
      </c>
      <c r="D79" s="7" t="s">
        <v>38</v>
      </c>
      <c r="E79" s="29">
        <v>1E-3</v>
      </c>
      <c r="F79" s="4" t="s">
        <v>40</v>
      </c>
    </row>
    <row r="80" spans="2:9">
      <c r="C80" s="4" t="s">
        <v>36</v>
      </c>
      <c r="D80" s="29">
        <v>1E-3</v>
      </c>
      <c r="E80" s="5" t="s">
        <v>39</v>
      </c>
      <c r="F80" s="29">
        <v>1.0000000000000001E-5</v>
      </c>
      <c r="G80" s="4" t="s">
        <v>41</v>
      </c>
    </row>
    <row r="81" spans="1:8">
      <c r="C81" s="4" t="s">
        <v>37</v>
      </c>
      <c r="D81" s="7" t="s">
        <v>42</v>
      </c>
      <c r="E81" s="29">
        <v>1.0000000000000001E-5</v>
      </c>
      <c r="F81" s="4" t="s">
        <v>43</v>
      </c>
    </row>
    <row r="82" spans="1:8" ht="6" customHeight="1" thickBot="1"/>
    <row r="83" spans="1:8" ht="13.5" thickBot="1">
      <c r="C83" s="8" t="s">
        <v>31</v>
      </c>
      <c r="D83" s="136" t="str">
        <f>IF(F75&gt;0.001,"A estrutura Requer um SPDA",IF(F75&lt;0.00001,"A Estrutura Dispensa um SPDA","É Conveniente o Uso de um SPDA"))</f>
        <v>É Conveniente o Uso de um SPDA</v>
      </c>
      <c r="E83" s="137"/>
      <c r="F83" s="137"/>
      <c r="G83" s="138"/>
    </row>
    <row r="84" spans="1:8">
      <c r="D84" s="30"/>
    </row>
    <row r="85" spans="1:8">
      <c r="A85" s="112" t="s">
        <v>226</v>
      </c>
      <c r="B85" s="112"/>
      <c r="C85" s="112"/>
      <c r="D85" s="112"/>
      <c r="E85" s="112"/>
      <c r="F85" s="112"/>
    </row>
    <row r="86" spans="1:8" ht="6" customHeight="1"/>
    <row r="87" spans="1:8">
      <c r="A87" s="112" t="s">
        <v>227</v>
      </c>
      <c r="B87" s="112"/>
      <c r="C87" s="112"/>
      <c r="D87" s="112"/>
      <c r="E87" s="112"/>
      <c r="F87" s="112"/>
      <c r="G87" s="112"/>
    </row>
    <row r="88" spans="1:8">
      <c r="C88" s="8"/>
      <c r="D88" s="15"/>
      <c r="E88" s="6"/>
      <c r="F88" s="8"/>
      <c r="G88" s="12"/>
      <c r="H88" s="6"/>
    </row>
    <row r="89" spans="1:8">
      <c r="D89" s="4" t="s">
        <v>1</v>
      </c>
      <c r="E89" s="3" t="s">
        <v>44</v>
      </c>
      <c r="F89" s="23"/>
    </row>
    <row r="90" spans="1:8">
      <c r="B90" s="3"/>
      <c r="C90" s="3"/>
      <c r="D90" s="3"/>
      <c r="E90" s="3" t="s">
        <v>45</v>
      </c>
      <c r="F90" s="23"/>
    </row>
    <row r="91" spans="1:8" ht="6" customHeight="1">
      <c r="C91" s="8"/>
      <c r="D91" s="6"/>
      <c r="E91" s="7"/>
      <c r="F91" s="23"/>
    </row>
    <row r="92" spans="1:8" ht="15">
      <c r="B92" s="7" t="s">
        <v>30</v>
      </c>
      <c r="C92" s="125" t="s">
        <v>179</v>
      </c>
      <c r="D92" s="125"/>
      <c r="E92" s="125"/>
      <c r="F92" s="125"/>
    </row>
    <row r="93" spans="1:8">
      <c r="C93" s="118" t="s">
        <v>46</v>
      </c>
      <c r="D93" s="118"/>
      <c r="E93" s="118" t="s">
        <v>47</v>
      </c>
      <c r="F93" s="118"/>
    </row>
    <row r="94" spans="1:8">
      <c r="C94" s="118" t="s">
        <v>14</v>
      </c>
      <c r="D94" s="118"/>
      <c r="E94" s="118">
        <v>10</v>
      </c>
      <c r="F94" s="118"/>
    </row>
    <row r="95" spans="1:8">
      <c r="C95" s="118" t="s">
        <v>48</v>
      </c>
      <c r="D95" s="118"/>
      <c r="E95" s="118">
        <v>15</v>
      </c>
      <c r="F95" s="118"/>
    </row>
    <row r="96" spans="1:8">
      <c r="C96" s="118" t="s">
        <v>49</v>
      </c>
      <c r="D96" s="118"/>
      <c r="E96" s="118">
        <v>20</v>
      </c>
      <c r="F96" s="118"/>
    </row>
    <row r="97" spans="1:8">
      <c r="C97" s="118" t="s">
        <v>50</v>
      </c>
      <c r="D97" s="118"/>
      <c r="E97" s="118">
        <v>25</v>
      </c>
      <c r="F97" s="118"/>
    </row>
    <row r="98" spans="1:8" ht="6" customHeight="1"/>
    <row r="99" spans="1:8">
      <c r="B99" s="7" t="s">
        <v>31</v>
      </c>
      <c r="C99" s="7" t="s">
        <v>52</v>
      </c>
      <c r="D99" s="23">
        <f>IF(E33=1,E94,IF(E33=2,E95,IF(E33=3,E96,E97)))</f>
        <v>15</v>
      </c>
      <c r="E99" s="4" t="s">
        <v>6</v>
      </c>
      <c r="F99" s="7" t="s">
        <v>51</v>
      </c>
      <c r="G99" s="23">
        <f>(2*G10)+(2*G12)</f>
        <v>108.1</v>
      </c>
      <c r="H99" s="4" t="s">
        <v>6</v>
      </c>
    </row>
    <row r="100" spans="1:8" ht="6" customHeight="1" thickBot="1"/>
    <row r="101" spans="1:8" ht="13.5" thickBot="1">
      <c r="B101" s="7" t="s">
        <v>2</v>
      </c>
      <c r="C101" s="55" t="s">
        <v>53</v>
      </c>
      <c r="D101" s="2">
        <f>G99/D99</f>
        <v>7.2066666666666661</v>
      </c>
      <c r="E101" s="65" t="s">
        <v>54</v>
      </c>
      <c r="F101" s="66"/>
    </row>
    <row r="103" spans="1:8">
      <c r="A103" s="112" t="s">
        <v>228</v>
      </c>
      <c r="B103" s="112"/>
      <c r="C103" s="112"/>
      <c r="D103" s="112"/>
      <c r="E103" s="112"/>
      <c r="F103" s="112"/>
      <c r="G103" s="112"/>
    </row>
    <row r="104" spans="1:8" ht="3.95" customHeight="1">
      <c r="A104" s="68"/>
      <c r="B104" s="68"/>
      <c r="C104" s="68"/>
      <c r="D104" s="68"/>
      <c r="E104" s="68"/>
      <c r="F104" s="68"/>
      <c r="G104" s="68"/>
    </row>
    <row r="105" spans="1:8">
      <c r="A105" s="112" t="s">
        <v>246</v>
      </c>
      <c r="B105" s="112"/>
      <c r="C105" s="112"/>
      <c r="D105" s="112"/>
      <c r="E105" s="112"/>
      <c r="F105" s="112"/>
      <c r="G105" s="112"/>
    </row>
    <row r="106" spans="1:8" ht="3.95" customHeight="1">
      <c r="A106" s="68"/>
      <c r="B106" s="68"/>
      <c r="C106" s="68"/>
      <c r="D106" s="68"/>
      <c r="E106" s="68"/>
      <c r="F106" s="68"/>
      <c r="G106" s="68"/>
    </row>
    <row r="107" spans="1:8">
      <c r="A107" s="68"/>
      <c r="B107" s="133" t="s">
        <v>46</v>
      </c>
      <c r="C107" s="133"/>
      <c r="D107" s="129" t="s">
        <v>161</v>
      </c>
      <c r="E107" s="129"/>
      <c r="F107" s="129"/>
      <c r="G107" s="129"/>
    </row>
    <row r="108" spans="1:8">
      <c r="A108" s="68"/>
      <c r="B108" s="133"/>
      <c r="C108" s="133"/>
      <c r="D108" s="71">
        <v>20</v>
      </c>
      <c r="E108" s="71">
        <v>30</v>
      </c>
      <c r="F108" s="71">
        <v>45</v>
      </c>
      <c r="G108" s="71">
        <v>60</v>
      </c>
    </row>
    <row r="109" spans="1:8">
      <c r="A109" s="68"/>
      <c r="B109" s="129" t="s">
        <v>14</v>
      </c>
      <c r="C109" s="129"/>
      <c r="D109" s="71">
        <v>25</v>
      </c>
      <c r="E109" s="130"/>
      <c r="F109" s="131"/>
      <c r="G109" s="132"/>
    </row>
    <row r="110" spans="1:8">
      <c r="A110" s="68"/>
      <c r="B110" s="129" t="s">
        <v>48</v>
      </c>
      <c r="C110" s="129"/>
      <c r="D110" s="71">
        <v>35</v>
      </c>
      <c r="E110" s="71">
        <v>25</v>
      </c>
      <c r="F110" s="130"/>
      <c r="G110" s="132"/>
    </row>
    <row r="111" spans="1:8">
      <c r="A111" s="68"/>
      <c r="B111" s="129" t="s">
        <v>49</v>
      </c>
      <c r="C111" s="129"/>
      <c r="D111" s="71">
        <v>45</v>
      </c>
      <c r="E111" s="71">
        <v>35</v>
      </c>
      <c r="F111" s="71">
        <v>25</v>
      </c>
      <c r="G111" s="72"/>
    </row>
    <row r="112" spans="1:8">
      <c r="A112" s="68"/>
      <c r="B112" s="129" t="s">
        <v>50</v>
      </c>
      <c r="C112" s="129"/>
      <c r="D112" s="71">
        <v>55</v>
      </c>
      <c r="E112" s="71">
        <v>45</v>
      </c>
      <c r="F112" s="71">
        <v>35</v>
      </c>
      <c r="G112" s="71">
        <v>25</v>
      </c>
    </row>
    <row r="113" spans="1:8">
      <c r="A113" s="68"/>
      <c r="B113" s="68"/>
      <c r="C113" s="68"/>
      <c r="D113" s="68"/>
      <c r="E113" s="68"/>
      <c r="F113" s="68"/>
      <c r="G113" s="68"/>
    </row>
    <row r="114" spans="1:8">
      <c r="A114" s="68"/>
      <c r="B114" s="73" t="s">
        <v>162</v>
      </c>
      <c r="C114" s="77">
        <v>35</v>
      </c>
      <c r="D114" s="75" t="s">
        <v>165</v>
      </c>
      <c r="F114" s="73" t="s">
        <v>162</v>
      </c>
      <c r="G114" s="74">
        <f>(PI()*C114)/180</f>
        <v>0.6108652381980153</v>
      </c>
      <c r="H114" s="75" t="s">
        <v>166</v>
      </c>
    </row>
    <row r="115" spans="1:8">
      <c r="A115" s="68"/>
      <c r="B115" s="68"/>
      <c r="C115" s="68"/>
      <c r="D115" s="68"/>
      <c r="E115" s="68"/>
      <c r="F115" s="68"/>
      <c r="G115" s="68"/>
    </row>
    <row r="116" spans="1:8">
      <c r="A116" s="68"/>
      <c r="B116" s="73" t="s">
        <v>167</v>
      </c>
      <c r="C116" s="74">
        <v>3</v>
      </c>
      <c r="D116" s="75" t="s">
        <v>6</v>
      </c>
      <c r="F116" s="73" t="s">
        <v>164</v>
      </c>
      <c r="G116" s="74">
        <f>G16+C116</f>
        <v>23.54</v>
      </c>
      <c r="H116" s="75" t="s">
        <v>6</v>
      </c>
    </row>
    <row r="117" spans="1:8" ht="13.5" thickBot="1">
      <c r="A117" s="68"/>
      <c r="B117" s="68"/>
      <c r="C117" s="68"/>
      <c r="D117" s="68"/>
      <c r="E117" s="68"/>
      <c r="F117" s="68"/>
      <c r="G117" s="68"/>
    </row>
    <row r="118" spans="1:8" ht="13.5" thickBot="1">
      <c r="A118" s="68"/>
      <c r="B118" s="68"/>
      <c r="C118" s="78" t="s">
        <v>163</v>
      </c>
      <c r="D118" s="79">
        <f>(G116*(TAN(G114)))</f>
        <v>16.482885449456568</v>
      </c>
      <c r="E118" s="80" t="s">
        <v>6</v>
      </c>
      <c r="F118" s="68"/>
      <c r="G118" s="68"/>
    </row>
    <row r="119" spans="1:8">
      <c r="C119" s="8"/>
      <c r="D119" s="15"/>
      <c r="E119" s="6"/>
      <c r="F119" s="8"/>
      <c r="G119" s="12"/>
      <c r="H119" s="6"/>
    </row>
    <row r="120" spans="1:8">
      <c r="D120" s="4" t="s">
        <v>1</v>
      </c>
      <c r="E120" s="3" t="s">
        <v>170</v>
      </c>
      <c r="F120" s="23"/>
    </row>
    <row r="121" spans="1:8">
      <c r="B121" s="3"/>
      <c r="C121" s="3"/>
      <c r="D121" s="3"/>
      <c r="E121" s="3" t="s">
        <v>169</v>
      </c>
      <c r="F121" s="23"/>
    </row>
    <row r="122" spans="1:8">
      <c r="C122" s="8"/>
      <c r="D122" s="6"/>
      <c r="E122" s="7"/>
      <c r="F122" s="23"/>
    </row>
    <row r="123" spans="1:8" ht="6" customHeight="1"/>
    <row r="124" spans="1:8">
      <c r="B124" s="3" t="s">
        <v>57</v>
      </c>
    </row>
    <row r="125" spans="1:8" ht="12.75" customHeight="1">
      <c r="C125" s="7" t="s">
        <v>55</v>
      </c>
      <c r="D125" s="23">
        <f>G10</f>
        <v>40.15</v>
      </c>
      <c r="E125" s="4" t="s">
        <v>6</v>
      </c>
      <c r="F125" s="7" t="s">
        <v>56</v>
      </c>
      <c r="G125" s="23">
        <f>D118*2</f>
        <v>32.965770898913135</v>
      </c>
      <c r="H125" s="4" t="s">
        <v>6</v>
      </c>
    </row>
    <row r="126" spans="1:8" ht="6" customHeight="1" thickBot="1">
      <c r="C126" s="7"/>
      <c r="D126" s="23"/>
      <c r="F126" s="7"/>
      <c r="G126" s="23"/>
    </row>
    <row r="127" spans="1:8" ht="13.5" thickBot="1">
      <c r="B127" s="7" t="s">
        <v>2</v>
      </c>
      <c r="C127" s="55" t="s">
        <v>197</v>
      </c>
      <c r="D127" s="2">
        <f>(D125/G125)+1</f>
        <v>2.2179299590207284</v>
      </c>
      <c r="E127" s="65" t="s">
        <v>168</v>
      </c>
      <c r="F127" s="66"/>
    </row>
    <row r="129" spans="1:9">
      <c r="B129" s="3" t="s">
        <v>58</v>
      </c>
    </row>
    <row r="130" spans="1:9">
      <c r="C130" s="7" t="s">
        <v>55</v>
      </c>
      <c r="D130" s="23">
        <f>G12</f>
        <v>13.9</v>
      </c>
      <c r="E130" s="4" t="s">
        <v>6</v>
      </c>
      <c r="F130" s="7" t="s">
        <v>56</v>
      </c>
      <c r="G130" s="23">
        <f>G125</f>
        <v>32.965770898913135</v>
      </c>
      <c r="H130" s="4" t="s">
        <v>6</v>
      </c>
    </row>
    <row r="131" spans="1:9" ht="6" customHeight="1" thickBot="1">
      <c r="C131" s="7"/>
      <c r="D131" s="23"/>
      <c r="F131" s="7"/>
      <c r="G131" s="23"/>
    </row>
    <row r="132" spans="1:9" ht="13.5" thickBot="1">
      <c r="B132" s="7" t="s">
        <v>2</v>
      </c>
      <c r="C132" s="55" t="s">
        <v>198</v>
      </c>
      <c r="D132" s="2">
        <f>(D130/G130)+1</f>
        <v>1.4216494752275997</v>
      </c>
      <c r="E132" s="65" t="s">
        <v>251</v>
      </c>
      <c r="F132" s="66"/>
    </row>
    <row r="133" spans="1:9" ht="12.75" customHeight="1">
      <c r="B133" s="121" t="s">
        <v>252</v>
      </c>
      <c r="C133" s="121"/>
      <c r="D133" s="121"/>
      <c r="E133" s="121"/>
      <c r="F133" s="121"/>
      <c r="G133" s="121"/>
      <c r="H133" s="121"/>
      <c r="I133" s="121"/>
    </row>
    <row r="134" spans="1:9">
      <c r="B134" s="121"/>
      <c r="C134" s="121"/>
      <c r="D134" s="121"/>
      <c r="E134" s="121"/>
      <c r="F134" s="121"/>
      <c r="G134" s="121"/>
      <c r="H134" s="121"/>
      <c r="I134" s="121"/>
    </row>
    <row r="135" spans="1:9">
      <c r="B135" s="121"/>
      <c r="C135" s="121"/>
      <c r="D135" s="121"/>
      <c r="E135" s="121"/>
      <c r="F135" s="121"/>
      <c r="G135" s="121"/>
      <c r="H135" s="121"/>
      <c r="I135" s="121"/>
    </row>
    <row r="136" spans="1:9">
      <c r="B136" s="121"/>
      <c r="C136" s="121"/>
      <c r="D136" s="121"/>
      <c r="E136" s="121"/>
      <c r="F136" s="121"/>
      <c r="G136" s="121"/>
      <c r="H136" s="121"/>
      <c r="I136" s="121"/>
    </row>
    <row r="137" spans="1:9">
      <c r="B137" s="101"/>
      <c r="C137" s="101"/>
      <c r="D137" s="101"/>
      <c r="E137" s="101"/>
      <c r="F137" s="101"/>
      <c r="G137" s="101"/>
      <c r="H137" s="101"/>
      <c r="I137" s="101"/>
    </row>
    <row r="138" spans="1:9">
      <c r="A138" s="112" t="s">
        <v>229</v>
      </c>
      <c r="B138" s="112"/>
      <c r="C138" s="112"/>
      <c r="D138" s="112"/>
      <c r="E138" s="112"/>
      <c r="F138" s="112"/>
      <c r="G138" s="112"/>
      <c r="H138" s="112"/>
    </row>
    <row r="139" spans="1:9" ht="3.95" customHeight="1">
      <c r="A139" s="32"/>
      <c r="B139" s="32"/>
      <c r="C139" s="32"/>
      <c r="D139" s="32"/>
      <c r="E139" s="32"/>
      <c r="F139" s="32"/>
    </row>
    <row r="140" spans="1:9" ht="15">
      <c r="C140" s="116" t="s">
        <v>181</v>
      </c>
      <c r="D140" s="116"/>
      <c r="E140" s="116"/>
      <c r="F140" s="116"/>
    </row>
    <row r="141" spans="1:9">
      <c r="A141" s="81" t="s">
        <v>59</v>
      </c>
      <c r="B141" s="128" t="s">
        <v>60</v>
      </c>
      <c r="C141" s="128"/>
      <c r="D141" s="128" t="s">
        <v>61</v>
      </c>
      <c r="E141" s="128"/>
      <c r="F141" s="128" t="s">
        <v>62</v>
      </c>
      <c r="G141" s="128"/>
      <c r="H141" s="128" t="s">
        <v>63</v>
      </c>
      <c r="I141" s="128"/>
    </row>
    <row r="142" spans="1:9">
      <c r="A142" s="82" t="s">
        <v>64</v>
      </c>
      <c r="B142" s="126">
        <v>35</v>
      </c>
      <c r="C142" s="126"/>
      <c r="D142" s="126">
        <v>16</v>
      </c>
      <c r="E142" s="126"/>
      <c r="F142" s="126">
        <v>35</v>
      </c>
      <c r="G142" s="126"/>
      <c r="H142" s="126">
        <v>50</v>
      </c>
      <c r="I142" s="126"/>
    </row>
    <row r="143" spans="1:9">
      <c r="A143" s="82" t="s">
        <v>65</v>
      </c>
      <c r="B143" s="126">
        <v>70</v>
      </c>
      <c r="C143" s="126"/>
      <c r="D143" s="126">
        <v>25</v>
      </c>
      <c r="E143" s="126"/>
      <c r="F143" s="126">
        <v>70</v>
      </c>
      <c r="G143" s="126"/>
      <c r="H143" s="126" t="s">
        <v>67</v>
      </c>
      <c r="I143" s="126"/>
    </row>
    <row r="144" spans="1:9">
      <c r="A144" s="82" t="s">
        <v>66</v>
      </c>
      <c r="B144" s="126">
        <v>50</v>
      </c>
      <c r="C144" s="126"/>
      <c r="D144" s="126">
        <v>50</v>
      </c>
      <c r="E144" s="126"/>
      <c r="F144" s="126">
        <v>50</v>
      </c>
      <c r="G144" s="126"/>
      <c r="H144" s="126">
        <v>80</v>
      </c>
      <c r="I144" s="126"/>
    </row>
    <row r="145" spans="1:9" ht="6" customHeight="1"/>
    <row r="146" spans="1:9">
      <c r="B146" s="7" t="s">
        <v>71</v>
      </c>
      <c r="C146" s="127" t="s">
        <v>72</v>
      </c>
      <c r="D146" s="127"/>
      <c r="E146" s="127"/>
      <c r="F146" s="127" t="s">
        <v>73</v>
      </c>
      <c r="G146" s="127"/>
      <c r="H146" s="127"/>
      <c r="I146" s="127"/>
    </row>
    <row r="147" spans="1:9" ht="6" customHeight="1" thickBot="1"/>
    <row r="148" spans="1:9" ht="13.5" thickBot="1">
      <c r="B148" s="7" t="s">
        <v>2</v>
      </c>
      <c r="C148" s="6" t="s">
        <v>70</v>
      </c>
      <c r="D148" s="6"/>
      <c r="E148" s="6"/>
      <c r="F148" s="63">
        <v>35</v>
      </c>
      <c r="G148" s="64" t="s">
        <v>184</v>
      </c>
    </row>
    <row r="149" spans="1:9" ht="13.5" thickBot="1">
      <c r="C149" s="6" t="s">
        <v>69</v>
      </c>
      <c r="D149" s="6"/>
      <c r="E149" s="6"/>
      <c r="F149" s="63">
        <v>50</v>
      </c>
      <c r="G149" s="64" t="s">
        <v>184</v>
      </c>
    </row>
    <row r="151" spans="1:9" hidden="1">
      <c r="A151" s="124" t="s">
        <v>74</v>
      </c>
      <c r="B151" s="124"/>
      <c r="C151" s="124"/>
      <c r="D151" s="124"/>
      <c r="E151" s="124"/>
      <c r="F151" s="124"/>
      <c r="G151" s="124"/>
      <c r="H151" s="124"/>
    </row>
    <row r="152" spans="1:9" ht="6" hidden="1" customHeight="1"/>
    <row r="153" spans="1:9" hidden="1">
      <c r="A153" s="7" t="s">
        <v>76</v>
      </c>
      <c r="B153" s="4" t="s">
        <v>77</v>
      </c>
    </row>
    <row r="154" spans="1:9" hidden="1">
      <c r="B154" s="4" t="s">
        <v>78</v>
      </c>
    </row>
    <row r="155" spans="1:9" ht="6" hidden="1" customHeight="1" thickBot="1"/>
    <row r="156" spans="1:9" ht="13.5" hidden="1" thickBot="1">
      <c r="B156" s="3" t="s">
        <v>57</v>
      </c>
      <c r="E156" s="55" t="s">
        <v>79</v>
      </c>
      <c r="F156" s="2">
        <f>G125/8</f>
        <v>4.1207213623641419</v>
      </c>
      <c r="G156" s="56" t="s">
        <v>80</v>
      </c>
    </row>
    <row r="157" spans="1:9" ht="6" hidden="1" customHeight="1" thickBot="1"/>
    <row r="158" spans="1:9" ht="13.5" hidden="1" thickBot="1">
      <c r="B158" s="3" t="s">
        <v>81</v>
      </c>
      <c r="E158" s="48" t="s">
        <v>82</v>
      </c>
      <c r="F158" s="47">
        <v>8</v>
      </c>
      <c r="G158" s="49" t="s">
        <v>80</v>
      </c>
    </row>
    <row r="159" spans="1:9" hidden="1">
      <c r="B159" s="3"/>
      <c r="E159" s="7"/>
      <c r="F159" s="31"/>
    </row>
    <row r="160" spans="1:9">
      <c r="A160" s="112" t="s">
        <v>247</v>
      </c>
      <c r="B160" s="112"/>
      <c r="C160" s="112"/>
      <c r="D160" s="112"/>
      <c r="E160" s="112"/>
      <c r="F160" s="112"/>
      <c r="G160" s="112"/>
      <c r="H160" s="112"/>
    </row>
    <row r="161" spans="1:9" ht="5.0999999999999996" customHeight="1"/>
    <row r="162" spans="1:9">
      <c r="A162" s="7"/>
      <c r="C162" s="5" t="s">
        <v>83</v>
      </c>
    </row>
    <row r="164" spans="1:9">
      <c r="B164" s="16" t="s">
        <v>1</v>
      </c>
      <c r="C164" s="17" t="s">
        <v>84</v>
      </c>
      <c r="D164" s="17"/>
      <c r="E164" s="18"/>
      <c r="F164" s="18"/>
    </row>
    <row r="165" spans="1:9">
      <c r="B165" s="6"/>
      <c r="D165" s="17" t="s">
        <v>201</v>
      </c>
    </row>
    <row r="166" spans="1:9">
      <c r="C166" s="17" t="s">
        <v>85</v>
      </c>
      <c r="D166" s="17"/>
    </row>
    <row r="167" spans="1:9">
      <c r="D167" s="17" t="s">
        <v>203</v>
      </c>
    </row>
    <row r="168" spans="1:9">
      <c r="C168" s="17" t="s">
        <v>86</v>
      </c>
      <c r="D168" s="17"/>
      <c r="E168" s="18"/>
    </row>
    <row r="169" spans="1:9">
      <c r="B169" s="3"/>
      <c r="D169" s="17" t="s">
        <v>202</v>
      </c>
      <c r="F169" s="31"/>
    </row>
    <row r="170" spans="1:9">
      <c r="B170" s="3"/>
      <c r="C170" s="17" t="s">
        <v>87</v>
      </c>
      <c r="D170" s="17"/>
      <c r="E170" s="7"/>
      <c r="F170" s="31"/>
    </row>
    <row r="171" spans="1:9" ht="6" customHeight="1">
      <c r="B171" s="3"/>
      <c r="D171" s="17"/>
      <c r="E171" s="7"/>
      <c r="F171" s="31"/>
    </row>
    <row r="172" spans="1:9" ht="15">
      <c r="A172" s="125" t="s">
        <v>199</v>
      </c>
      <c r="B172" s="125"/>
      <c r="C172" s="125"/>
      <c r="D172" s="125"/>
      <c r="E172" s="7"/>
      <c r="F172" s="125" t="s">
        <v>200</v>
      </c>
      <c r="G172" s="125"/>
      <c r="H172" s="125"/>
      <c r="I172" s="125"/>
    </row>
    <row r="173" spans="1:9">
      <c r="A173" s="118" t="s">
        <v>46</v>
      </c>
      <c r="B173" s="118"/>
      <c r="C173" s="118" t="s">
        <v>88</v>
      </c>
      <c r="D173" s="118"/>
      <c r="E173" s="7"/>
      <c r="F173" s="118" t="s">
        <v>59</v>
      </c>
      <c r="G173" s="118"/>
      <c r="H173" s="118" t="s">
        <v>94</v>
      </c>
      <c r="I173" s="118"/>
    </row>
    <row r="174" spans="1:9">
      <c r="A174" s="118" t="s">
        <v>14</v>
      </c>
      <c r="B174" s="118"/>
      <c r="C174" s="118">
        <v>0.1</v>
      </c>
      <c r="D174" s="118"/>
      <c r="E174" s="7"/>
      <c r="F174" s="118" t="s">
        <v>95</v>
      </c>
      <c r="G174" s="118"/>
      <c r="H174" s="118">
        <v>1</v>
      </c>
      <c r="I174" s="118"/>
    </row>
    <row r="175" spans="1:9">
      <c r="A175" s="118" t="s">
        <v>48</v>
      </c>
      <c r="B175" s="118"/>
      <c r="C175" s="118">
        <v>7.4999999999999997E-2</v>
      </c>
      <c r="D175" s="118"/>
      <c r="E175" s="7"/>
      <c r="F175" s="118" t="s">
        <v>96</v>
      </c>
      <c r="G175" s="118"/>
      <c r="H175" s="118">
        <v>0.5</v>
      </c>
      <c r="I175" s="118"/>
    </row>
    <row r="176" spans="1:9">
      <c r="A176" s="118" t="s">
        <v>90</v>
      </c>
      <c r="B176" s="118"/>
      <c r="C176" s="118">
        <v>0.05</v>
      </c>
      <c r="D176" s="118"/>
      <c r="E176" s="7"/>
      <c r="F176" s="5"/>
      <c r="G176" s="5"/>
      <c r="H176" s="5"/>
      <c r="I176" s="5"/>
    </row>
    <row r="177" spans="1:9" ht="6" customHeight="1">
      <c r="B177" s="3"/>
      <c r="E177" s="7"/>
      <c r="F177" s="31"/>
    </row>
    <row r="178" spans="1:9">
      <c r="B178" s="16" t="s">
        <v>30</v>
      </c>
      <c r="C178" s="7" t="s">
        <v>89</v>
      </c>
      <c r="D178" s="23">
        <f>IF(E33=1,C174,IF(E33=2,C175,C176))</f>
        <v>7.4999999999999997E-2</v>
      </c>
      <c r="F178" s="7" t="s">
        <v>91</v>
      </c>
      <c r="G178" s="23">
        <v>1</v>
      </c>
      <c r="H178" s="4" t="s">
        <v>92</v>
      </c>
    </row>
    <row r="179" spans="1:9">
      <c r="B179" s="3"/>
      <c r="C179" s="7" t="s">
        <v>93</v>
      </c>
      <c r="D179" s="23">
        <f>H175</f>
        <v>0.5</v>
      </c>
      <c r="E179" s="7"/>
      <c r="F179" s="33" t="s">
        <v>97</v>
      </c>
      <c r="G179" s="50">
        <f>G16+2*0.6</f>
        <v>21.74</v>
      </c>
      <c r="H179" s="4" t="s">
        <v>6</v>
      </c>
    </row>
    <row r="180" spans="1:9" ht="6" customHeight="1" thickBot="1">
      <c r="B180" s="3"/>
      <c r="C180" s="7"/>
      <c r="D180" s="23"/>
      <c r="E180" s="7"/>
      <c r="F180" s="33"/>
      <c r="G180" s="23"/>
    </row>
    <row r="181" spans="1:9" ht="13.5" thickBot="1">
      <c r="B181" s="16" t="s">
        <v>2</v>
      </c>
      <c r="C181" s="55" t="s">
        <v>98</v>
      </c>
      <c r="D181" s="62">
        <f>D178*(G178/D179)*G179</f>
        <v>3.2609999999999997</v>
      </c>
      <c r="E181" s="56" t="s">
        <v>6</v>
      </c>
      <c r="F181" s="33"/>
      <c r="G181" s="23"/>
    </row>
    <row r="182" spans="1:9">
      <c r="B182" s="3"/>
      <c r="C182" s="7"/>
      <c r="D182" s="23"/>
      <c r="E182" s="7"/>
      <c r="F182" s="33"/>
      <c r="G182" s="23"/>
    </row>
    <row r="183" spans="1:9">
      <c r="A183" s="112" t="s">
        <v>230</v>
      </c>
      <c r="B183" s="112"/>
      <c r="C183" s="112"/>
      <c r="D183" s="112"/>
      <c r="E183" s="112"/>
      <c r="F183" s="112"/>
      <c r="G183" s="112"/>
      <c r="H183" s="112"/>
    </row>
    <row r="184" spans="1:9">
      <c r="A184" s="34"/>
      <c r="B184" s="34"/>
      <c r="C184" s="34"/>
      <c r="D184" s="34"/>
      <c r="E184" s="34"/>
      <c r="F184" s="34"/>
      <c r="G184" s="34"/>
      <c r="H184" s="34"/>
    </row>
    <row r="185" spans="1:9">
      <c r="A185" s="112" t="s">
        <v>231</v>
      </c>
      <c r="B185" s="112"/>
      <c r="C185" s="112"/>
      <c r="D185" s="112"/>
      <c r="E185" s="112"/>
      <c r="F185" s="112"/>
      <c r="G185" s="112"/>
      <c r="H185" s="112"/>
    </row>
    <row r="186" spans="1:9" ht="6" customHeight="1">
      <c r="A186" s="34"/>
      <c r="B186" s="34"/>
      <c r="C186" s="34"/>
      <c r="D186" s="34"/>
      <c r="E186" s="34"/>
      <c r="F186" s="34"/>
      <c r="G186" s="34"/>
      <c r="H186" s="34"/>
    </row>
    <row r="187" spans="1:9">
      <c r="A187" s="34"/>
      <c r="B187" s="3" t="s">
        <v>99</v>
      </c>
      <c r="C187" s="34"/>
      <c r="D187" s="34"/>
      <c r="E187" s="34"/>
      <c r="F187" s="34"/>
      <c r="G187" s="34"/>
      <c r="H187" s="34"/>
    </row>
    <row r="188" spans="1:9">
      <c r="A188" s="34"/>
      <c r="B188" s="10" t="s">
        <v>158</v>
      </c>
      <c r="D188" s="34"/>
      <c r="E188" s="34"/>
      <c r="F188" s="34"/>
      <c r="G188" s="34"/>
      <c r="H188" s="34"/>
    </row>
    <row r="189" spans="1:9">
      <c r="A189" s="34"/>
      <c r="B189" s="10" t="s">
        <v>159</v>
      </c>
      <c r="D189" s="34"/>
      <c r="E189" s="34"/>
      <c r="F189" s="34"/>
      <c r="G189" s="16" t="s">
        <v>160</v>
      </c>
      <c r="H189" s="51">
        <v>1.5</v>
      </c>
      <c r="I189" s="4" t="s">
        <v>6</v>
      </c>
    </row>
    <row r="190" spans="1:9" ht="6" customHeight="1">
      <c r="A190" s="34"/>
      <c r="B190" s="34"/>
      <c r="C190" s="34"/>
      <c r="D190" s="34"/>
      <c r="E190" s="34"/>
      <c r="F190" s="34"/>
      <c r="G190" s="34"/>
      <c r="H190" s="34"/>
    </row>
    <row r="191" spans="1:9">
      <c r="A191" s="34"/>
      <c r="B191" s="3" t="s">
        <v>154</v>
      </c>
      <c r="C191" s="34"/>
      <c r="D191" s="34"/>
      <c r="E191" s="35" t="s">
        <v>100</v>
      </c>
      <c r="F191" s="52">
        <v>500</v>
      </c>
      <c r="G191" s="36" t="s">
        <v>101</v>
      </c>
      <c r="H191" s="34"/>
    </row>
    <row r="192" spans="1:9">
      <c r="A192" s="34"/>
      <c r="B192" s="121" t="s">
        <v>253</v>
      </c>
      <c r="C192" s="122"/>
      <c r="D192" s="122"/>
      <c r="E192" s="122"/>
      <c r="F192" s="122"/>
      <c r="G192" s="122"/>
      <c r="H192" s="122"/>
      <c r="I192" s="122"/>
    </row>
    <row r="193" spans="1:9">
      <c r="A193" s="34"/>
      <c r="B193" s="122"/>
      <c r="C193" s="122"/>
      <c r="D193" s="122"/>
      <c r="E193" s="122"/>
      <c r="F193" s="122"/>
      <c r="G193" s="122"/>
      <c r="H193" s="122"/>
      <c r="I193" s="122"/>
    </row>
    <row r="194" spans="1:9" ht="6" customHeight="1">
      <c r="A194" s="34"/>
      <c r="B194" s="34"/>
      <c r="F194" s="37"/>
      <c r="G194" s="34"/>
      <c r="H194" s="34"/>
    </row>
    <row r="195" spans="1:9">
      <c r="A195" s="34"/>
      <c r="B195" s="3" t="s">
        <v>102</v>
      </c>
      <c r="C195" s="34"/>
      <c r="D195" s="34"/>
      <c r="E195" s="16" t="s">
        <v>75</v>
      </c>
      <c r="F195" s="38">
        <f>G10+(2*H189)</f>
        <v>43.15</v>
      </c>
      <c r="G195" s="18" t="s">
        <v>6</v>
      </c>
      <c r="H195" s="34"/>
    </row>
    <row r="196" spans="1:9" ht="6" customHeight="1">
      <c r="A196" s="34"/>
      <c r="B196" s="34"/>
      <c r="C196" s="34"/>
      <c r="D196" s="34"/>
      <c r="E196" s="34"/>
      <c r="F196" s="34"/>
      <c r="G196" s="34"/>
      <c r="H196" s="34"/>
    </row>
    <row r="197" spans="1:9">
      <c r="A197" s="34"/>
      <c r="B197" s="3" t="s">
        <v>103</v>
      </c>
      <c r="C197" s="34"/>
      <c r="D197" s="34"/>
      <c r="E197" s="16" t="s">
        <v>104</v>
      </c>
      <c r="F197" s="38">
        <f>G12+(2*H189)</f>
        <v>16.899999999999999</v>
      </c>
      <c r="G197" s="18" t="s">
        <v>6</v>
      </c>
      <c r="H197" s="34"/>
    </row>
    <row r="198" spans="1:9">
      <c r="A198" s="34"/>
      <c r="B198" s="3"/>
      <c r="C198" s="34"/>
      <c r="D198" s="34"/>
      <c r="E198" s="16"/>
      <c r="F198" s="38"/>
      <c r="G198" s="18"/>
      <c r="H198" s="34"/>
    </row>
    <row r="199" spans="1:9">
      <c r="A199" s="112" t="s">
        <v>232</v>
      </c>
      <c r="B199" s="112"/>
      <c r="C199" s="112"/>
      <c r="D199" s="112"/>
      <c r="E199" s="112"/>
      <c r="F199" s="112"/>
      <c r="G199" s="112"/>
      <c r="H199" s="112"/>
    </row>
    <row r="200" spans="1:9" ht="6" customHeight="1">
      <c r="A200" s="34"/>
      <c r="B200" s="34"/>
      <c r="C200" s="34"/>
      <c r="D200" s="34"/>
      <c r="E200" s="34"/>
      <c r="F200" s="34"/>
      <c r="G200" s="34"/>
      <c r="H200" s="34"/>
    </row>
    <row r="201" spans="1:9">
      <c r="A201" s="34"/>
      <c r="B201" s="3" t="s">
        <v>110</v>
      </c>
      <c r="C201" s="34"/>
      <c r="D201" s="34"/>
      <c r="H201" s="34"/>
    </row>
    <row r="202" spans="1:9">
      <c r="A202" s="34"/>
      <c r="B202" s="34"/>
      <c r="C202" s="16" t="s">
        <v>105</v>
      </c>
      <c r="D202" s="52">
        <v>2</v>
      </c>
      <c r="E202" s="18" t="s">
        <v>106</v>
      </c>
      <c r="F202" s="34"/>
      <c r="G202" s="34"/>
      <c r="H202" s="34"/>
    </row>
    <row r="203" spans="1:9">
      <c r="A203" s="34"/>
      <c r="B203" s="123" t="s">
        <v>241</v>
      </c>
      <c r="C203" s="123"/>
      <c r="D203" s="123"/>
      <c r="E203" s="123"/>
      <c r="F203" s="123"/>
      <c r="G203" s="123"/>
      <c r="H203" s="123"/>
      <c r="I203" s="123"/>
    </row>
    <row r="204" spans="1:9">
      <c r="A204" s="34"/>
      <c r="B204" s="123"/>
      <c r="C204" s="123"/>
      <c r="D204" s="123"/>
      <c r="E204" s="123"/>
      <c r="F204" s="123"/>
      <c r="G204" s="123"/>
      <c r="H204" s="123"/>
      <c r="I204" s="123"/>
    </row>
    <row r="205" spans="1:9" ht="6" customHeight="1">
      <c r="A205" s="34"/>
      <c r="B205" s="34"/>
      <c r="C205" s="34"/>
      <c r="D205" s="34"/>
      <c r="E205" s="34"/>
      <c r="F205" s="34"/>
      <c r="G205" s="34"/>
      <c r="H205" s="34"/>
    </row>
    <row r="206" spans="1:9">
      <c r="A206" s="34"/>
      <c r="B206" s="3" t="s">
        <v>107</v>
      </c>
      <c r="C206" s="34"/>
      <c r="D206" s="34"/>
      <c r="G206" s="119" t="s">
        <v>108</v>
      </c>
      <c r="H206" s="120"/>
    </row>
    <row r="207" spans="1:9" ht="6" customHeight="1">
      <c r="A207" s="34"/>
      <c r="B207" s="34"/>
      <c r="C207" s="16"/>
      <c r="D207" s="38"/>
      <c r="E207" s="18"/>
      <c r="F207" s="34"/>
      <c r="G207" s="34"/>
      <c r="H207" s="34"/>
    </row>
    <row r="208" spans="1:9">
      <c r="A208" s="34"/>
      <c r="B208" s="3" t="s">
        <v>109</v>
      </c>
      <c r="C208" s="34"/>
      <c r="D208" s="34"/>
      <c r="H208" s="34"/>
    </row>
    <row r="209" spans="1:9">
      <c r="A209" s="34"/>
      <c r="B209" s="34"/>
      <c r="C209" s="16" t="s">
        <v>111</v>
      </c>
      <c r="D209" s="52">
        <v>10</v>
      </c>
      <c r="E209" s="18" t="s">
        <v>112</v>
      </c>
      <c r="F209" s="34"/>
      <c r="G209" s="34"/>
      <c r="H209" s="34"/>
    </row>
    <row r="210" spans="1:9">
      <c r="A210" s="34"/>
      <c r="B210" s="123" t="s">
        <v>242</v>
      </c>
      <c r="C210" s="123"/>
      <c r="D210" s="123"/>
      <c r="E210" s="123"/>
      <c r="F210" s="123"/>
      <c r="G210" s="123"/>
      <c r="H210" s="123"/>
      <c r="I210" s="123"/>
    </row>
    <row r="211" spans="1:9">
      <c r="A211" s="34"/>
      <c r="B211" s="123"/>
      <c r="C211" s="123"/>
      <c r="D211" s="123"/>
      <c r="E211" s="123"/>
      <c r="F211" s="123"/>
      <c r="G211" s="123"/>
      <c r="H211" s="123"/>
      <c r="I211" s="123"/>
    </row>
    <row r="212" spans="1:9" ht="3" customHeight="1">
      <c r="A212" s="34"/>
      <c r="B212" s="34"/>
      <c r="C212" s="34"/>
      <c r="D212" s="34"/>
      <c r="E212" s="34"/>
      <c r="F212" s="34"/>
      <c r="G212" s="34"/>
      <c r="H212" s="34"/>
    </row>
    <row r="213" spans="1:9">
      <c r="A213" s="112" t="s">
        <v>233</v>
      </c>
      <c r="B213" s="112"/>
      <c r="C213" s="112"/>
      <c r="D213" s="112"/>
      <c r="E213" s="112"/>
      <c r="F213" s="112"/>
      <c r="G213" s="112"/>
      <c r="H213" s="112"/>
    </row>
    <row r="214" spans="1:9" ht="6" customHeight="1">
      <c r="A214" s="34"/>
      <c r="B214" s="34"/>
      <c r="C214" s="34"/>
      <c r="D214" s="34"/>
      <c r="E214" s="34"/>
      <c r="F214" s="34"/>
      <c r="G214" s="34"/>
      <c r="H214" s="34"/>
    </row>
    <row r="215" spans="1:9">
      <c r="A215" s="34"/>
      <c r="B215" s="34"/>
      <c r="C215" s="34"/>
      <c r="D215" s="34"/>
      <c r="E215" s="34"/>
      <c r="F215" s="34"/>
      <c r="G215" s="34"/>
      <c r="H215" s="34"/>
    </row>
    <row r="216" spans="1:9" ht="15">
      <c r="A216" s="34"/>
      <c r="B216" s="116" t="s">
        <v>116</v>
      </c>
      <c r="C216" s="116"/>
      <c r="D216" s="116"/>
      <c r="E216" s="116"/>
      <c r="F216" s="116"/>
      <c r="G216" s="116"/>
      <c r="H216" s="116"/>
    </row>
    <row r="217" spans="1:9">
      <c r="A217" s="34"/>
      <c r="B217" s="39" t="s">
        <v>113</v>
      </c>
      <c r="C217" s="117" t="s">
        <v>108</v>
      </c>
      <c r="D217" s="117"/>
      <c r="E217" s="117" t="s">
        <v>114</v>
      </c>
      <c r="F217" s="117"/>
      <c r="G217" s="117" t="s">
        <v>115</v>
      </c>
      <c r="H217" s="117"/>
    </row>
    <row r="218" spans="1:9">
      <c r="A218" s="34"/>
      <c r="B218" s="40">
        <v>30</v>
      </c>
      <c r="C218" s="114">
        <v>2.0268000000000001E-2</v>
      </c>
      <c r="D218" s="114"/>
      <c r="E218" s="114">
        <v>2.5335E-2</v>
      </c>
      <c r="F218" s="114"/>
      <c r="G218" s="114">
        <v>3.2934999999999999E-2</v>
      </c>
      <c r="H218" s="114"/>
    </row>
    <row r="219" spans="1:9">
      <c r="A219" s="34"/>
      <c r="B219" s="40">
        <v>4</v>
      </c>
      <c r="C219" s="114">
        <v>7.0930000000000003E-3</v>
      </c>
      <c r="D219" s="114"/>
      <c r="E219" s="114">
        <v>1.0134000000000001E-2</v>
      </c>
      <c r="F219" s="114"/>
      <c r="G219" s="114">
        <v>1.2160000000000001E-2</v>
      </c>
      <c r="H219" s="114"/>
    </row>
    <row r="220" spans="1:9">
      <c r="A220" s="34"/>
      <c r="B220" s="40">
        <v>2</v>
      </c>
      <c r="C220" s="114">
        <f>((($B$220-$B$221)*(C219-C221))/($B$219-$B$221))+C221</f>
        <v>4.7283333333333335E-3</v>
      </c>
      <c r="D220" s="114"/>
      <c r="E220" s="114">
        <f>((($B$220-$B$221)*(E219-E221))/($B$219-$B$221))+E221</f>
        <v>6.7560000000000007E-3</v>
      </c>
      <c r="F220" s="114"/>
      <c r="G220" s="114">
        <f>((($B$220-$B$221)*(G219-G221))/($B$219-$B$221))+G221</f>
        <v>8.1066666666666665E-3</v>
      </c>
      <c r="H220" s="114"/>
    </row>
    <row r="221" spans="1:9">
      <c r="A221" s="34"/>
      <c r="B221" s="40">
        <v>1</v>
      </c>
      <c r="C221" s="114">
        <v>3.5460000000000001E-3</v>
      </c>
      <c r="D221" s="114"/>
      <c r="E221" s="114">
        <v>5.0670000000000003E-3</v>
      </c>
      <c r="F221" s="114"/>
      <c r="G221" s="114">
        <v>6.0800000000000003E-3</v>
      </c>
      <c r="H221" s="114"/>
    </row>
    <row r="222" spans="1:9" ht="12.75" customHeight="1">
      <c r="A222" s="34"/>
      <c r="B222" s="40">
        <v>0.5</v>
      </c>
      <c r="C222" s="114">
        <v>2.5330000000000001E-3</v>
      </c>
      <c r="D222" s="114"/>
      <c r="E222" s="114">
        <v>3.2929999999999999E-3</v>
      </c>
      <c r="F222" s="114"/>
      <c r="G222" s="114">
        <v>4.3059999999999999E-3</v>
      </c>
      <c r="H222" s="114"/>
    </row>
    <row r="223" spans="1:9" ht="13.5" thickBot="1">
      <c r="A223" s="34"/>
      <c r="B223" s="34"/>
      <c r="C223" s="34"/>
      <c r="D223" s="34"/>
      <c r="E223" s="34"/>
      <c r="F223" s="34"/>
      <c r="G223" s="34"/>
      <c r="H223" s="34"/>
    </row>
    <row r="224" spans="1:9" ht="13.5" thickBot="1">
      <c r="A224" s="34"/>
      <c r="B224" s="16" t="s">
        <v>117</v>
      </c>
      <c r="C224" s="87">
        <f>IF(D202=B218,C218,IF(D202=B219,C219,IF(D202=B220,C220,IF(D202=B221,C221,IF(D202=B222,C222,C222)))))</f>
        <v>4.7283333333333335E-3</v>
      </c>
      <c r="D224" s="18" t="s">
        <v>185</v>
      </c>
      <c r="E224" s="55"/>
      <c r="F224" s="55" t="s">
        <v>243</v>
      </c>
      <c r="G224" s="62">
        <f>C224*(D209/3)*1000</f>
        <v>15.761111111111111</v>
      </c>
      <c r="H224" s="56" t="s">
        <v>68</v>
      </c>
    </row>
    <row r="225" spans="1:9" ht="13.5" thickBot="1">
      <c r="A225" s="34"/>
      <c r="B225" s="16"/>
      <c r="C225" s="87"/>
      <c r="D225" s="18"/>
      <c r="E225" s="55"/>
      <c r="F225" s="55" t="s">
        <v>244</v>
      </c>
      <c r="G225" s="62">
        <v>50</v>
      </c>
      <c r="H225" s="56" t="s">
        <v>68</v>
      </c>
    </row>
    <row r="226" spans="1:9" ht="12.75" customHeight="1">
      <c r="A226" s="34"/>
      <c r="B226" s="147" t="s">
        <v>254</v>
      </c>
      <c r="C226" s="147"/>
      <c r="D226" s="147"/>
      <c r="E226" s="147"/>
      <c r="F226" s="147"/>
      <c r="G226" s="147"/>
      <c r="H226" s="147"/>
      <c r="I226" s="146"/>
    </row>
    <row r="227" spans="1:9">
      <c r="A227" s="34"/>
      <c r="B227" s="146"/>
      <c r="C227" s="146"/>
      <c r="D227" s="146"/>
      <c r="E227" s="146"/>
      <c r="F227" s="146"/>
      <c r="G227" s="146"/>
      <c r="H227" s="146"/>
      <c r="I227" s="146"/>
    </row>
    <row r="228" spans="1:9">
      <c r="A228" s="34"/>
      <c r="B228" s="96"/>
      <c r="C228" s="96"/>
      <c r="D228" s="96"/>
      <c r="E228" s="96"/>
      <c r="F228" s="96"/>
      <c r="G228" s="96"/>
      <c r="H228" s="96"/>
      <c r="I228" s="96"/>
    </row>
    <row r="229" spans="1:9">
      <c r="A229" s="112" t="s">
        <v>234</v>
      </c>
      <c r="B229" s="112"/>
      <c r="C229" s="112"/>
      <c r="D229" s="112"/>
      <c r="E229" s="112"/>
      <c r="F229" s="112"/>
      <c r="G229" s="112"/>
      <c r="H229" s="112"/>
    </row>
    <row r="230" spans="1:9" ht="6" customHeight="1">
      <c r="A230" s="34"/>
      <c r="B230" s="34"/>
      <c r="C230" s="34"/>
      <c r="D230" s="34"/>
      <c r="E230" s="34"/>
      <c r="F230" s="34"/>
      <c r="G230" s="34"/>
      <c r="H230" s="34"/>
    </row>
    <row r="231" spans="1:9">
      <c r="A231" s="34"/>
      <c r="B231" s="34"/>
      <c r="C231" s="34"/>
      <c r="D231" s="34"/>
      <c r="E231" s="34"/>
      <c r="F231" s="27" t="s">
        <v>120</v>
      </c>
      <c r="G231" s="41">
        <f>1.05*((2*F195)+(2*F197))</f>
        <v>126.105</v>
      </c>
      <c r="H231" s="22" t="s">
        <v>6</v>
      </c>
    </row>
    <row r="232" spans="1:9">
      <c r="A232" s="34"/>
      <c r="B232" s="34"/>
      <c r="C232" s="34"/>
      <c r="D232" s="34"/>
      <c r="E232" s="34"/>
      <c r="F232" s="34"/>
      <c r="G232" s="34"/>
      <c r="H232" s="34"/>
    </row>
    <row r="233" spans="1:9">
      <c r="A233" s="112" t="s">
        <v>235</v>
      </c>
      <c r="B233" s="112"/>
      <c r="C233" s="112"/>
      <c r="D233" s="112"/>
      <c r="E233" s="112"/>
      <c r="F233" s="112"/>
      <c r="G233" s="112"/>
      <c r="H233" s="112"/>
    </row>
    <row r="234" spans="1:9" ht="6" customHeight="1">
      <c r="A234" s="32"/>
      <c r="B234" s="32"/>
      <c r="C234" s="32"/>
      <c r="D234" s="32"/>
      <c r="E234" s="32"/>
      <c r="F234" s="32"/>
      <c r="G234" s="32"/>
      <c r="H234" s="32"/>
    </row>
    <row r="235" spans="1:9">
      <c r="A235" s="112" t="s">
        <v>236</v>
      </c>
      <c r="B235" s="112"/>
      <c r="C235" s="112"/>
      <c r="D235" s="112"/>
      <c r="E235" s="112"/>
      <c r="F235" s="112"/>
      <c r="G235" s="112"/>
      <c r="H235" s="1"/>
    </row>
    <row r="236" spans="1:9">
      <c r="A236" s="34"/>
      <c r="B236" s="34"/>
      <c r="C236" s="34"/>
      <c r="D236" s="34"/>
      <c r="E236" s="34"/>
      <c r="F236" s="34"/>
      <c r="G236" s="34"/>
      <c r="H236" s="34"/>
    </row>
    <row r="237" spans="1:9">
      <c r="A237" s="34"/>
      <c r="B237" s="34"/>
      <c r="C237" s="34"/>
      <c r="D237" s="34"/>
      <c r="E237" s="34"/>
      <c r="F237" s="34"/>
      <c r="G237" s="34"/>
      <c r="H237" s="34"/>
    </row>
    <row r="238" spans="1:9">
      <c r="A238" s="34"/>
      <c r="B238" s="34"/>
      <c r="C238" s="34"/>
      <c r="D238" s="34"/>
      <c r="E238" s="34"/>
      <c r="F238" s="34"/>
      <c r="G238" s="34"/>
      <c r="H238" s="34"/>
    </row>
    <row r="239" spans="1:9">
      <c r="A239" s="34"/>
      <c r="B239" s="16" t="s">
        <v>1</v>
      </c>
      <c r="C239" s="17" t="s">
        <v>118</v>
      </c>
      <c r="D239" s="17"/>
      <c r="E239" s="18"/>
      <c r="F239" s="18"/>
    </row>
    <row r="240" spans="1:9">
      <c r="A240" s="34"/>
      <c r="B240" s="6"/>
      <c r="C240" s="17" t="s">
        <v>119</v>
      </c>
      <c r="D240" s="17"/>
    </row>
    <row r="241" spans="1:8" ht="6" customHeight="1">
      <c r="A241" s="34"/>
      <c r="B241" s="6"/>
      <c r="C241" s="17"/>
      <c r="D241" s="17"/>
    </row>
    <row r="242" spans="1:8">
      <c r="A242" s="34"/>
      <c r="B242" s="16" t="s">
        <v>30</v>
      </c>
      <c r="C242" s="16" t="s">
        <v>121</v>
      </c>
      <c r="D242" s="23">
        <f>SQRT((F195*F197)/PI())</f>
        <v>15.235573827435466</v>
      </c>
      <c r="E242" s="18" t="s">
        <v>6</v>
      </c>
    </row>
    <row r="243" spans="1:8" ht="6" customHeight="1">
      <c r="A243" s="34"/>
      <c r="B243" s="6"/>
      <c r="C243" s="17"/>
      <c r="D243" s="17"/>
    </row>
    <row r="244" spans="1:8">
      <c r="A244" s="34"/>
      <c r="B244" s="6"/>
      <c r="C244" s="27" t="s">
        <v>122</v>
      </c>
      <c r="D244" s="41">
        <f>((F191/(4*D242)+(F191/G231)))</f>
        <v>12.169432419216722</v>
      </c>
      <c r="E244" s="42" t="s">
        <v>123</v>
      </c>
    </row>
    <row r="245" spans="1:8">
      <c r="A245" s="34"/>
      <c r="B245" s="6"/>
      <c r="C245" s="17"/>
      <c r="D245" s="17"/>
    </row>
    <row r="246" spans="1:8">
      <c r="A246" s="112" t="s">
        <v>237</v>
      </c>
      <c r="B246" s="112"/>
      <c r="C246" s="112"/>
      <c r="D246" s="112"/>
      <c r="E246" s="112"/>
      <c r="F246" s="112"/>
      <c r="G246" s="112"/>
      <c r="H246" s="1"/>
    </row>
    <row r="247" spans="1:8">
      <c r="A247" s="34"/>
      <c r="B247" s="34"/>
      <c r="C247" s="34"/>
      <c r="D247" s="34"/>
      <c r="E247" s="34"/>
      <c r="F247" s="34"/>
      <c r="G247" s="34"/>
      <c r="H247" s="34"/>
    </row>
    <row r="248" spans="1:8">
      <c r="A248" s="34"/>
      <c r="B248" s="34"/>
      <c r="C248" s="34"/>
      <c r="D248" s="34"/>
      <c r="E248" s="34"/>
      <c r="F248" s="34"/>
      <c r="G248" s="34"/>
      <c r="H248" s="34"/>
    </row>
    <row r="249" spans="1:8">
      <c r="A249" s="34"/>
      <c r="B249" s="34"/>
      <c r="C249" s="34"/>
      <c r="D249" s="34"/>
      <c r="E249" s="34"/>
      <c r="F249" s="34"/>
      <c r="G249" s="34"/>
      <c r="H249" s="34"/>
    </row>
    <row r="250" spans="1:8">
      <c r="A250" s="34"/>
      <c r="B250" s="16" t="s">
        <v>1</v>
      </c>
      <c r="C250" s="17" t="s">
        <v>124</v>
      </c>
      <c r="D250" s="17"/>
      <c r="E250" s="18"/>
      <c r="F250" s="18"/>
    </row>
    <row r="251" spans="1:8">
      <c r="A251" s="34"/>
      <c r="B251" s="6"/>
      <c r="C251" s="17" t="s">
        <v>125</v>
      </c>
      <c r="D251" s="17"/>
    </row>
    <row r="252" spans="1:8" ht="6" customHeight="1">
      <c r="A252" s="34"/>
      <c r="B252" s="34"/>
      <c r="C252" s="34"/>
      <c r="D252" s="34"/>
      <c r="E252" s="34"/>
      <c r="F252" s="34"/>
      <c r="G252" s="34"/>
      <c r="H252" s="34"/>
    </row>
    <row r="253" spans="1:8">
      <c r="A253" s="34"/>
      <c r="B253" s="16" t="s">
        <v>30</v>
      </c>
      <c r="C253" s="16" t="s">
        <v>126</v>
      </c>
      <c r="D253" s="50">
        <v>2.4</v>
      </c>
      <c r="E253" s="18" t="s">
        <v>6</v>
      </c>
      <c r="F253" s="16" t="s">
        <v>127</v>
      </c>
      <c r="G253" s="53">
        <v>0.625</v>
      </c>
      <c r="H253" s="18" t="s">
        <v>128</v>
      </c>
    </row>
    <row r="254" spans="1:8" ht="6" customHeight="1">
      <c r="A254" s="34"/>
      <c r="B254" s="34"/>
      <c r="C254" s="34"/>
      <c r="D254" s="34"/>
      <c r="E254" s="34"/>
      <c r="F254" s="34"/>
      <c r="G254" s="34"/>
      <c r="H254" s="34"/>
    </row>
    <row r="255" spans="1:8">
      <c r="A255" s="34"/>
      <c r="B255" s="16" t="s">
        <v>2</v>
      </c>
      <c r="C255" s="27" t="s">
        <v>129</v>
      </c>
      <c r="D255" s="20">
        <f>(((F191)/(2*3.141593*D253))*(LN((400*D253)/(2.54*G253))))</f>
        <v>212.36482152118543</v>
      </c>
      <c r="E255" s="42" t="s">
        <v>123</v>
      </c>
      <c r="F255" s="34"/>
      <c r="G255" s="34"/>
      <c r="H255" s="34"/>
    </row>
    <row r="256" spans="1:8">
      <c r="A256" s="34"/>
      <c r="B256" s="34"/>
      <c r="C256" s="34"/>
      <c r="D256" s="34"/>
      <c r="E256" s="34"/>
      <c r="F256" s="34"/>
      <c r="G256" s="34"/>
      <c r="H256" s="34"/>
    </row>
    <row r="257" spans="1:8">
      <c r="A257" s="112" t="s">
        <v>238</v>
      </c>
      <c r="B257" s="112"/>
      <c r="C257" s="112"/>
      <c r="D257" s="112"/>
      <c r="E257" s="112"/>
      <c r="F257" s="112"/>
      <c r="G257" s="112"/>
      <c r="H257" s="1"/>
    </row>
    <row r="258" spans="1:8" ht="6" customHeight="1">
      <c r="A258" s="34"/>
      <c r="B258" s="34"/>
      <c r="C258" s="34"/>
      <c r="D258" s="34"/>
      <c r="E258" s="34"/>
      <c r="F258" s="34"/>
      <c r="G258" s="34"/>
      <c r="H258" s="34"/>
    </row>
    <row r="259" spans="1:8">
      <c r="A259" s="34"/>
      <c r="B259" s="34"/>
      <c r="C259" s="34"/>
      <c r="D259" s="34"/>
      <c r="E259" s="34"/>
      <c r="F259" s="34"/>
      <c r="G259" s="34"/>
      <c r="H259" s="34"/>
    </row>
    <row r="260" spans="1:8">
      <c r="A260" s="34"/>
      <c r="B260" s="16" t="s">
        <v>1</v>
      </c>
      <c r="C260" s="17" t="s">
        <v>130</v>
      </c>
      <c r="D260" s="17"/>
      <c r="E260" s="18"/>
      <c r="F260" s="18"/>
      <c r="H260" s="34"/>
    </row>
    <row r="261" spans="1:8">
      <c r="A261" s="34"/>
      <c r="B261" s="34"/>
      <c r="C261" s="34"/>
      <c r="D261" s="34"/>
      <c r="E261" s="34"/>
      <c r="F261" s="34"/>
      <c r="G261" s="34"/>
      <c r="H261" s="34"/>
    </row>
    <row r="262" spans="1:8">
      <c r="A262" s="34"/>
      <c r="B262" s="34"/>
      <c r="C262" s="34"/>
      <c r="D262" s="34"/>
      <c r="E262" s="34"/>
      <c r="F262" s="34"/>
      <c r="G262" s="34"/>
      <c r="H262" s="34"/>
    </row>
    <row r="263" spans="1:8">
      <c r="A263" s="34"/>
      <c r="B263" s="34"/>
      <c r="C263" s="34"/>
      <c r="D263" s="34"/>
      <c r="E263" s="34"/>
      <c r="F263" s="34"/>
      <c r="G263" s="34"/>
      <c r="H263" s="34"/>
    </row>
    <row r="264" spans="1:8">
      <c r="A264" s="34"/>
      <c r="B264" s="34"/>
      <c r="C264" s="16" t="s">
        <v>1</v>
      </c>
      <c r="D264" s="17" t="s">
        <v>131</v>
      </c>
      <c r="E264" s="34"/>
      <c r="F264" s="34"/>
      <c r="G264" s="34"/>
      <c r="H264" s="34"/>
    </row>
    <row r="265" spans="1:8">
      <c r="A265" s="34"/>
      <c r="B265" s="34"/>
      <c r="C265" s="34"/>
      <c r="D265" s="17" t="s">
        <v>132</v>
      </c>
      <c r="E265" s="34"/>
      <c r="F265" s="34"/>
      <c r="G265" s="34"/>
      <c r="H265" s="34"/>
    </row>
    <row r="266" spans="1:8">
      <c r="A266" s="34"/>
      <c r="B266" s="34"/>
      <c r="C266" s="34"/>
      <c r="D266" s="17" t="s">
        <v>133</v>
      </c>
      <c r="E266" s="34"/>
      <c r="F266" s="34"/>
      <c r="G266" s="34"/>
      <c r="H266" s="34"/>
    </row>
    <row r="267" spans="1:8" ht="6" customHeight="1">
      <c r="A267" s="34"/>
      <c r="B267" s="34"/>
      <c r="C267" s="34"/>
      <c r="D267" s="34"/>
      <c r="E267" s="34"/>
      <c r="F267" s="34"/>
      <c r="G267" s="34"/>
      <c r="H267" s="34"/>
    </row>
    <row r="268" spans="1:8">
      <c r="A268" s="34"/>
      <c r="B268" s="34"/>
      <c r="C268" s="17" t="s">
        <v>134</v>
      </c>
      <c r="D268" s="34"/>
      <c r="E268" s="34"/>
      <c r="F268" s="34"/>
      <c r="G268" s="34"/>
      <c r="H268" s="34"/>
    </row>
    <row r="269" spans="1:8">
      <c r="A269" s="34"/>
      <c r="B269" s="34"/>
      <c r="C269" s="113" t="s">
        <v>156</v>
      </c>
      <c r="D269" s="113"/>
      <c r="E269" s="113"/>
      <c r="F269" s="54">
        <v>2.65</v>
      </c>
      <c r="G269" s="43" t="s">
        <v>6</v>
      </c>
      <c r="H269" s="34"/>
    </row>
    <row r="270" spans="1:8" ht="3.95" customHeight="1" thickBot="1">
      <c r="A270" s="34"/>
      <c r="B270" s="34"/>
      <c r="C270" s="34"/>
      <c r="D270" s="34"/>
      <c r="E270" s="34"/>
      <c r="F270" s="34"/>
      <c r="G270" s="34"/>
      <c r="H270" s="34"/>
    </row>
    <row r="271" spans="1:8" ht="13.5" thickBot="1">
      <c r="A271" s="34"/>
      <c r="B271" s="34"/>
      <c r="C271" s="110" t="s">
        <v>155</v>
      </c>
      <c r="D271" s="111"/>
      <c r="E271" s="2">
        <f>G10/F269</f>
        <v>15.150943396226415</v>
      </c>
      <c r="F271" s="56" t="s">
        <v>80</v>
      </c>
      <c r="G271" s="34"/>
      <c r="H271" s="34"/>
    </row>
    <row r="272" spans="1:8" ht="3.95" customHeight="1">
      <c r="A272" s="34"/>
      <c r="B272" s="34"/>
      <c r="C272" s="34"/>
      <c r="D272" s="34"/>
      <c r="E272" s="34"/>
      <c r="F272" s="34"/>
      <c r="G272" s="34"/>
      <c r="H272" s="34"/>
    </row>
    <row r="273" spans="1:9">
      <c r="A273" s="34"/>
      <c r="B273" s="34"/>
      <c r="C273" s="17" t="s">
        <v>135</v>
      </c>
      <c r="D273" s="34"/>
      <c r="E273" s="34"/>
      <c r="F273" s="34"/>
      <c r="G273" s="34"/>
      <c r="H273" s="34"/>
    </row>
    <row r="274" spans="1:9" ht="3.95" customHeight="1" thickBot="1">
      <c r="A274" s="34"/>
      <c r="B274" s="34"/>
      <c r="C274" s="34"/>
      <c r="D274" s="34"/>
      <c r="E274" s="34"/>
      <c r="F274" s="34"/>
      <c r="G274" s="34"/>
      <c r="H274" s="34"/>
    </row>
    <row r="275" spans="1:9" ht="13.5" thickBot="1">
      <c r="A275" s="34"/>
      <c r="B275" s="34"/>
      <c r="C275" s="110" t="s">
        <v>157</v>
      </c>
      <c r="D275" s="111"/>
      <c r="E275" s="2">
        <f>G12/F269</f>
        <v>5.2452830188679247</v>
      </c>
      <c r="F275" s="56" t="s">
        <v>80</v>
      </c>
      <c r="G275" s="34"/>
      <c r="H275" s="34"/>
    </row>
    <row r="276" spans="1:9" ht="6" customHeight="1" thickBot="1">
      <c r="A276" s="34"/>
      <c r="B276" s="34"/>
      <c r="C276" s="34"/>
      <c r="D276" s="34"/>
      <c r="E276" s="34"/>
      <c r="F276" s="34"/>
      <c r="G276" s="34"/>
      <c r="H276" s="34"/>
    </row>
    <row r="277" spans="1:9" ht="13.5" thickBot="1">
      <c r="A277" s="34"/>
      <c r="B277" s="34"/>
      <c r="C277" s="34"/>
      <c r="D277" s="57" t="s">
        <v>136</v>
      </c>
      <c r="E277" s="58">
        <f>(2*E271)+(2*E275)-2</f>
        <v>38.79245283018868</v>
      </c>
      <c r="F277" s="92" t="s">
        <v>80</v>
      </c>
      <c r="G277" s="94"/>
      <c r="H277" s="94"/>
      <c r="I277" s="94"/>
    </row>
    <row r="278" spans="1:9" hidden="1">
      <c r="A278" s="145"/>
      <c r="B278" s="145"/>
      <c r="C278" s="145"/>
      <c r="D278" s="145"/>
      <c r="E278" s="145"/>
      <c r="F278" s="145"/>
      <c r="G278" s="145"/>
      <c r="H278" s="145"/>
      <c r="I278" s="145"/>
    </row>
    <row r="279" spans="1:9" ht="6" customHeight="1">
      <c r="A279" s="34"/>
      <c r="B279" s="34"/>
      <c r="C279" s="34"/>
      <c r="D279" s="34"/>
      <c r="E279" s="34"/>
      <c r="F279" s="34"/>
      <c r="G279" s="93"/>
      <c r="H279" s="93"/>
      <c r="I279" s="93"/>
    </row>
    <row r="280" spans="1:9">
      <c r="A280" s="34"/>
      <c r="B280" s="34"/>
      <c r="C280" s="17" t="s">
        <v>137</v>
      </c>
      <c r="D280" s="34"/>
      <c r="E280" s="16" t="s">
        <v>27</v>
      </c>
      <c r="F280" s="67">
        <f>0.1629</f>
        <v>0.16289999999999999</v>
      </c>
      <c r="G280" s="3" t="s">
        <v>193</v>
      </c>
      <c r="H280" s="34"/>
    </row>
    <row r="281" spans="1:9">
      <c r="A281" s="34"/>
      <c r="B281" s="34"/>
      <c r="C281" s="17" t="s">
        <v>138</v>
      </c>
      <c r="D281" s="34"/>
      <c r="E281" s="16" t="s">
        <v>28</v>
      </c>
      <c r="F281" s="67">
        <v>8.5545000000000009</v>
      </c>
      <c r="G281" s="3" t="s">
        <v>193</v>
      </c>
      <c r="H281" s="34"/>
    </row>
    <row r="282" spans="1:9" hidden="1">
      <c r="A282" s="34"/>
      <c r="B282" s="34"/>
      <c r="C282" s="16" t="s">
        <v>30</v>
      </c>
      <c r="D282" s="27" t="s">
        <v>139</v>
      </c>
      <c r="E282" s="95">
        <f>(1+F280*F281)/E277</f>
        <v>6.1700868993190661E-2</v>
      </c>
      <c r="F282" s="37"/>
      <c r="G282" s="34"/>
      <c r="H282" s="34"/>
    </row>
    <row r="283" spans="1:9" hidden="1">
      <c r="A283" s="34"/>
      <c r="B283" s="34"/>
      <c r="C283" s="34"/>
      <c r="D283" s="34"/>
      <c r="E283" s="34"/>
      <c r="F283" s="34"/>
      <c r="G283" s="34"/>
      <c r="H283" s="34"/>
    </row>
    <row r="284" spans="1:9" hidden="1">
      <c r="A284" s="34"/>
      <c r="B284" s="16" t="s">
        <v>2</v>
      </c>
      <c r="C284" s="27" t="s">
        <v>140</v>
      </c>
      <c r="D284" s="20">
        <f>E282*D255</f>
        <v>13.103094031440978</v>
      </c>
      <c r="E284" s="42" t="s">
        <v>123</v>
      </c>
      <c r="F284" s="34"/>
      <c r="G284" s="34"/>
      <c r="H284" s="34"/>
    </row>
    <row r="285" spans="1:9" hidden="1">
      <c r="A285" s="34"/>
      <c r="B285" s="16"/>
      <c r="C285" s="8"/>
      <c r="D285" s="45"/>
      <c r="E285" s="37"/>
      <c r="F285" s="34"/>
      <c r="G285" s="34"/>
      <c r="H285" s="34"/>
    </row>
    <row r="286" spans="1:9" hidden="1">
      <c r="A286" s="34"/>
      <c r="B286" s="16"/>
      <c r="C286" s="8"/>
      <c r="D286" s="45"/>
      <c r="E286" s="37"/>
      <c r="F286" s="34"/>
      <c r="G286" s="34"/>
      <c r="H286" s="34"/>
    </row>
    <row r="287" spans="1:9" hidden="1">
      <c r="A287" s="34"/>
      <c r="B287" s="16"/>
      <c r="C287" s="8"/>
      <c r="D287" s="45"/>
      <c r="E287" s="37"/>
      <c r="F287" s="34"/>
      <c r="G287" s="34"/>
      <c r="H287" s="34"/>
    </row>
    <row r="288" spans="1:9">
      <c r="A288" s="34"/>
      <c r="B288" s="34"/>
      <c r="C288" s="16" t="s">
        <v>30</v>
      </c>
      <c r="D288" s="27" t="s">
        <v>139</v>
      </c>
      <c r="E288" s="148">
        <f>(1+F280*F281)/E277</f>
        <v>6.1700868993190661E-2</v>
      </c>
      <c r="F288" s="34"/>
      <c r="G288" s="34"/>
      <c r="H288" s="34"/>
    </row>
    <row r="289" spans="1:11">
      <c r="A289" s="34"/>
      <c r="B289" s="34"/>
      <c r="C289" s="34"/>
      <c r="D289" s="34"/>
      <c r="E289" s="34"/>
      <c r="F289" s="34"/>
      <c r="G289" s="34"/>
      <c r="H289" s="34"/>
    </row>
    <row r="290" spans="1:11">
      <c r="A290" s="34"/>
      <c r="B290" s="16" t="s">
        <v>2</v>
      </c>
      <c r="C290" s="27" t="s">
        <v>140</v>
      </c>
      <c r="D290" s="20">
        <f>E282*D255</f>
        <v>13.103094031440978</v>
      </c>
      <c r="E290" s="42" t="s">
        <v>123</v>
      </c>
      <c r="F290" s="34"/>
      <c r="G290" s="34"/>
      <c r="H290" s="34"/>
    </row>
    <row r="291" spans="1:11">
      <c r="A291" s="34"/>
      <c r="B291" s="34"/>
      <c r="C291" s="34"/>
      <c r="D291" s="34"/>
      <c r="E291" s="34"/>
      <c r="F291" s="34"/>
      <c r="G291" s="34"/>
      <c r="H291" s="34"/>
    </row>
    <row r="292" spans="1:11">
      <c r="A292" s="112" t="s">
        <v>239</v>
      </c>
      <c r="B292" s="112"/>
      <c r="C292" s="112"/>
      <c r="D292" s="112"/>
      <c r="E292" s="112"/>
      <c r="F292" s="112"/>
      <c r="G292" s="112"/>
      <c r="H292" s="1"/>
    </row>
    <row r="293" spans="1:11">
      <c r="A293" s="34"/>
      <c r="B293" s="34"/>
      <c r="C293" s="34"/>
      <c r="D293" s="34"/>
      <c r="E293" s="34"/>
      <c r="F293" s="34"/>
      <c r="G293" s="34"/>
      <c r="H293" s="34"/>
    </row>
    <row r="294" spans="1:11">
      <c r="A294" s="34"/>
      <c r="B294" s="34"/>
      <c r="C294" s="34"/>
      <c r="D294" s="34"/>
      <c r="E294" s="34"/>
      <c r="F294" s="34"/>
      <c r="G294" s="34"/>
      <c r="H294" s="34"/>
      <c r="K294" s="23">
        <f>F191/(3.1416*G231)</f>
        <v>1.2620797820806218</v>
      </c>
    </row>
    <row r="295" spans="1:11">
      <c r="A295" s="34"/>
      <c r="B295" s="34"/>
      <c r="C295" s="34"/>
      <c r="D295" s="34"/>
      <c r="E295" s="34"/>
      <c r="F295" s="34"/>
      <c r="G295" s="34"/>
      <c r="H295" s="34"/>
      <c r="K295" s="4">
        <f>LN((2*G231)/(G299))</f>
        <v>0.99656762343848126</v>
      </c>
    </row>
    <row r="296" spans="1:11">
      <c r="A296" s="34"/>
      <c r="B296" s="16" t="s">
        <v>1</v>
      </c>
      <c r="C296" s="17" t="s">
        <v>141</v>
      </c>
      <c r="D296" s="34"/>
      <c r="E296" s="34"/>
      <c r="F296" s="34"/>
      <c r="G296" s="34"/>
      <c r="H296" s="34"/>
      <c r="K296" s="23">
        <f>(D305*G231)/(SQRT(D299))</f>
        <v>4.8226768130878206</v>
      </c>
    </row>
    <row r="297" spans="1:11">
      <c r="A297" s="34"/>
      <c r="B297" s="34"/>
      <c r="C297" s="17" t="s">
        <v>142</v>
      </c>
      <c r="D297" s="34"/>
      <c r="E297" s="34"/>
      <c r="F297" s="34"/>
      <c r="G297" s="34"/>
      <c r="H297" s="34"/>
    </row>
    <row r="298" spans="1:11" ht="6" customHeight="1">
      <c r="A298" s="34"/>
      <c r="B298" s="34"/>
      <c r="C298" s="34"/>
      <c r="D298" s="34"/>
      <c r="E298" s="34"/>
      <c r="F298" s="34"/>
      <c r="G298" s="34"/>
      <c r="H298" s="34"/>
    </row>
    <row r="299" spans="1:11">
      <c r="A299" s="34"/>
      <c r="B299" s="16" t="s">
        <v>30</v>
      </c>
      <c r="C299" s="16" t="s">
        <v>9</v>
      </c>
      <c r="D299" s="23">
        <f>F195*F197</f>
        <v>729.2349999999999</v>
      </c>
      <c r="E299" s="18" t="s">
        <v>10</v>
      </c>
      <c r="F299" s="16" t="s">
        <v>143</v>
      </c>
      <c r="G299" s="23">
        <f>E277*D253</f>
        <v>93.101886792452831</v>
      </c>
      <c r="H299" s="18" t="s">
        <v>6</v>
      </c>
    </row>
    <row r="300" spans="1:11" ht="6" customHeight="1">
      <c r="A300" s="34"/>
      <c r="B300" s="16"/>
      <c r="C300" s="16"/>
      <c r="D300" s="23"/>
      <c r="E300" s="18"/>
      <c r="F300" s="16"/>
      <c r="G300" s="23"/>
      <c r="H300" s="18"/>
    </row>
    <row r="301" spans="1:11">
      <c r="A301" s="34"/>
      <c r="B301" s="34"/>
      <c r="C301" s="16" t="s">
        <v>144</v>
      </c>
      <c r="D301" s="23" t="s">
        <v>145</v>
      </c>
      <c r="E301" s="18"/>
      <c r="F301" s="16" t="s">
        <v>146</v>
      </c>
      <c r="G301" s="23" t="s">
        <v>147</v>
      </c>
      <c r="H301" s="18"/>
    </row>
    <row r="302" spans="1:11">
      <c r="A302" s="34"/>
      <c r="B302" s="34"/>
      <c r="C302" s="34"/>
      <c r="D302" s="34"/>
      <c r="E302" s="34"/>
      <c r="F302" s="34"/>
      <c r="G302" s="34"/>
      <c r="H302" s="34"/>
    </row>
    <row r="303" spans="1:11">
      <c r="A303" s="34"/>
      <c r="B303" s="34"/>
      <c r="C303" s="34"/>
      <c r="D303" s="34"/>
      <c r="E303" s="16" t="s">
        <v>148</v>
      </c>
      <c r="F303" s="23">
        <f>F195/F197</f>
        <v>2.5532544378698225</v>
      </c>
      <c r="G303" s="18"/>
      <c r="H303" s="34"/>
    </row>
    <row r="304" spans="1:11">
      <c r="A304" s="34"/>
      <c r="B304" s="34"/>
      <c r="C304" s="34"/>
      <c r="D304" s="34"/>
      <c r="E304" s="34"/>
      <c r="F304" s="34"/>
      <c r="G304" s="34"/>
      <c r="H304" s="34"/>
    </row>
    <row r="305" spans="1:9">
      <c r="A305" s="34"/>
      <c r="B305" s="16" t="s">
        <v>31</v>
      </c>
      <c r="C305" s="16" t="s">
        <v>144</v>
      </c>
      <c r="D305" s="23">
        <f>(1.14125)-(0.0425*F303)</f>
        <v>1.0327366863905327</v>
      </c>
      <c r="E305" s="44" t="s">
        <v>83</v>
      </c>
      <c r="F305" s="16" t="s">
        <v>146</v>
      </c>
      <c r="G305" s="23">
        <f>(5.49)-(0.1443*F303)</f>
        <v>5.1215653846153852</v>
      </c>
      <c r="H305" s="34"/>
    </row>
    <row r="306" spans="1:9" ht="8.1" customHeight="1">
      <c r="A306" s="34"/>
      <c r="B306" s="34"/>
      <c r="C306" s="34"/>
      <c r="D306" s="34"/>
      <c r="E306" s="34"/>
      <c r="F306" s="34"/>
      <c r="G306" s="34"/>
      <c r="H306" s="34"/>
    </row>
    <row r="307" spans="1:9">
      <c r="A307" s="34"/>
      <c r="B307" s="16" t="s">
        <v>2</v>
      </c>
      <c r="C307" s="27" t="s">
        <v>149</v>
      </c>
      <c r="D307" s="20">
        <f>-K294*(K295+K296-G305+1)</f>
        <v>-2.1426064078785658</v>
      </c>
      <c r="E307" s="42" t="s">
        <v>123</v>
      </c>
      <c r="F307" s="34"/>
      <c r="G307" s="34"/>
      <c r="H307" s="34"/>
    </row>
    <row r="308" spans="1:9">
      <c r="A308" s="34"/>
      <c r="B308" s="16"/>
      <c r="C308" s="8"/>
      <c r="D308" s="45"/>
      <c r="E308" s="37"/>
      <c r="F308" s="34"/>
      <c r="G308" s="34"/>
      <c r="H308" s="34"/>
    </row>
    <row r="309" spans="1:9">
      <c r="A309" s="112" t="s">
        <v>240</v>
      </c>
      <c r="B309" s="112"/>
      <c r="C309" s="112"/>
      <c r="D309" s="112"/>
      <c r="E309" s="112"/>
      <c r="F309" s="112"/>
      <c r="G309" s="112"/>
      <c r="H309" s="1"/>
    </row>
    <row r="310" spans="1:9">
      <c r="A310" s="34"/>
      <c r="B310" s="34"/>
      <c r="C310" s="34"/>
      <c r="D310" s="34"/>
      <c r="E310" s="34"/>
      <c r="F310" s="34"/>
      <c r="G310" s="34"/>
      <c r="H310" s="34"/>
    </row>
    <row r="311" spans="1:9">
      <c r="A311" s="34"/>
      <c r="B311" s="34"/>
      <c r="C311" s="34"/>
      <c r="D311" s="34"/>
      <c r="E311" s="34"/>
      <c r="F311" s="34"/>
      <c r="G311" s="34"/>
      <c r="H311" s="34"/>
    </row>
    <row r="312" spans="1:9">
      <c r="A312" s="34"/>
      <c r="B312" s="34"/>
      <c r="C312" s="34"/>
      <c r="D312" s="34"/>
      <c r="E312" s="34"/>
      <c r="F312" s="34"/>
      <c r="G312" s="34"/>
      <c r="H312" s="34"/>
    </row>
    <row r="313" spans="1:9" ht="6" customHeight="1" thickBot="1">
      <c r="A313" s="34"/>
      <c r="B313" s="34"/>
      <c r="C313" s="34"/>
      <c r="D313" s="34"/>
      <c r="E313" s="34"/>
      <c r="F313" s="34"/>
      <c r="G313" s="34"/>
      <c r="H313" s="34"/>
    </row>
    <row r="314" spans="1:9" ht="14.25" thickTop="1" thickBot="1">
      <c r="A314" s="34"/>
      <c r="B314" s="16" t="s">
        <v>30</v>
      </c>
      <c r="C314" s="59" t="s">
        <v>150</v>
      </c>
      <c r="D314" s="60">
        <f>(((D244*D284)-(D307*D307))/((D244+D284)-(2*D307)))</f>
        <v>5.2394553481682777</v>
      </c>
      <c r="E314" s="61" t="s">
        <v>123</v>
      </c>
      <c r="F314" s="34"/>
      <c r="G314" s="34"/>
      <c r="H314" s="34"/>
    </row>
    <row r="315" spans="1:9" ht="13.5" thickTop="1">
      <c r="A315" s="34"/>
      <c r="B315" s="34"/>
      <c r="C315" s="34"/>
      <c r="D315" s="34"/>
      <c r="E315" s="34"/>
      <c r="F315" s="34"/>
      <c r="G315" s="34"/>
      <c r="H315" s="34"/>
    </row>
    <row r="316" spans="1:9">
      <c r="A316" s="10" t="s">
        <v>194</v>
      </c>
      <c r="B316" s="34"/>
      <c r="C316" s="34"/>
      <c r="D316" s="34"/>
      <c r="E316" s="34"/>
      <c r="F316" s="34"/>
      <c r="G316" s="34"/>
      <c r="H316" s="34"/>
    </row>
    <row r="317" spans="1:9">
      <c r="A317" s="10" t="s">
        <v>195</v>
      </c>
      <c r="B317" s="34"/>
      <c r="C317" s="34"/>
      <c r="D317" s="34"/>
      <c r="E317" s="34"/>
      <c r="F317" s="34"/>
      <c r="G317" s="34"/>
      <c r="H317" s="34"/>
    </row>
    <row r="318" spans="1:9">
      <c r="A318" s="10" t="s">
        <v>196</v>
      </c>
      <c r="B318" s="34"/>
      <c r="C318" s="34"/>
      <c r="D318" s="34"/>
      <c r="E318" s="34"/>
      <c r="F318" s="34"/>
      <c r="G318" s="34"/>
      <c r="H318" s="34"/>
    </row>
    <row r="319" spans="1:9">
      <c r="A319" s="34"/>
      <c r="B319" s="34"/>
      <c r="C319" s="34"/>
      <c r="D319" s="34"/>
      <c r="E319" s="34"/>
      <c r="F319" s="34"/>
      <c r="G319" s="34"/>
      <c r="H319" s="34"/>
    </row>
    <row r="328" spans="1:1">
      <c r="A328" s="4" t="s">
        <v>220</v>
      </c>
    </row>
  </sheetData>
  <mergeCells count="116">
    <mergeCell ref="B133:I136"/>
    <mergeCell ref="B226:H226"/>
    <mergeCell ref="A235:G235"/>
    <mergeCell ref="A246:G246"/>
    <mergeCell ref="A257:G257"/>
    <mergeCell ref="A292:G292"/>
    <mergeCell ref="A309:G309"/>
    <mergeCell ref="B210:I211"/>
    <mergeCell ref="A278:I278"/>
    <mergeCell ref="E217:F217"/>
    <mergeCell ref="G217:H217"/>
    <mergeCell ref="A8:D8"/>
    <mergeCell ref="A20:H20"/>
    <mergeCell ref="C23:H23"/>
    <mergeCell ref="C26:H26"/>
    <mergeCell ref="C30:H30"/>
    <mergeCell ref="A35:F35"/>
    <mergeCell ref="E61:I61"/>
    <mergeCell ref="E63:I63"/>
    <mergeCell ref="E65:I65"/>
    <mergeCell ref="E66:I66"/>
    <mergeCell ref="E67:I67"/>
    <mergeCell ref="E68:I68"/>
    <mergeCell ref="E69:I69"/>
    <mergeCell ref="D83:G83"/>
    <mergeCell ref="A85:F85"/>
    <mergeCell ref="C92:F92"/>
    <mergeCell ref="C93:D93"/>
    <mergeCell ref="E93:F93"/>
    <mergeCell ref="A87:G87"/>
    <mergeCell ref="C94:D94"/>
    <mergeCell ref="E94:F94"/>
    <mergeCell ref="C95:D95"/>
    <mergeCell ref="E95:F95"/>
    <mergeCell ref="C96:D96"/>
    <mergeCell ref="E96:F96"/>
    <mergeCell ref="C97:D97"/>
    <mergeCell ref="E97:F97"/>
    <mergeCell ref="A103:G103"/>
    <mergeCell ref="A105:G105"/>
    <mergeCell ref="B107:C108"/>
    <mergeCell ref="D107:G107"/>
    <mergeCell ref="B109:C109"/>
    <mergeCell ref="E109:G109"/>
    <mergeCell ref="B110:C110"/>
    <mergeCell ref="F110:G110"/>
    <mergeCell ref="B111:C111"/>
    <mergeCell ref="B112:C112"/>
    <mergeCell ref="A138:H138"/>
    <mergeCell ref="C140:F140"/>
    <mergeCell ref="B141:C141"/>
    <mergeCell ref="D141:E141"/>
    <mergeCell ref="F141:G141"/>
    <mergeCell ref="H141:I141"/>
    <mergeCell ref="B142:C142"/>
    <mergeCell ref="D142:E142"/>
    <mergeCell ref="F142:G142"/>
    <mergeCell ref="H142:I142"/>
    <mergeCell ref="B143:C143"/>
    <mergeCell ref="D143:E143"/>
    <mergeCell ref="F143:G143"/>
    <mergeCell ref="H143:I143"/>
    <mergeCell ref="B144:C144"/>
    <mergeCell ref="D144:E144"/>
    <mergeCell ref="F144:G144"/>
    <mergeCell ref="H144:I144"/>
    <mergeCell ref="C146:E146"/>
    <mergeCell ref="F146:I146"/>
    <mergeCell ref="A151:H151"/>
    <mergeCell ref="A160:H160"/>
    <mergeCell ref="A172:D172"/>
    <mergeCell ref="F172:I172"/>
    <mergeCell ref="A173:B173"/>
    <mergeCell ref="C173:D173"/>
    <mergeCell ref="F173:G173"/>
    <mergeCell ref="H173:I173"/>
    <mergeCell ref="B192:I193"/>
    <mergeCell ref="B203:I204"/>
    <mergeCell ref="A174:B174"/>
    <mergeCell ref="C174:D174"/>
    <mergeCell ref="F174:G174"/>
    <mergeCell ref="H174:I174"/>
    <mergeCell ref="A175:B175"/>
    <mergeCell ref="C175:D175"/>
    <mergeCell ref="F175:G175"/>
    <mergeCell ref="H175:I175"/>
    <mergeCell ref="C217:D217"/>
    <mergeCell ref="C218:D218"/>
    <mergeCell ref="E218:F218"/>
    <mergeCell ref="G218:H218"/>
    <mergeCell ref="A176:B176"/>
    <mergeCell ref="C176:D176"/>
    <mergeCell ref="A183:H183"/>
    <mergeCell ref="A185:H185"/>
    <mergeCell ref="A199:H199"/>
    <mergeCell ref="G206:H206"/>
    <mergeCell ref="G222:H222"/>
    <mergeCell ref="C4:G4"/>
    <mergeCell ref="C219:D219"/>
    <mergeCell ref="E219:F219"/>
    <mergeCell ref="G219:H219"/>
    <mergeCell ref="C220:D220"/>
    <mergeCell ref="E220:F220"/>
    <mergeCell ref="G220:H220"/>
    <mergeCell ref="A213:H213"/>
    <mergeCell ref="B216:H216"/>
    <mergeCell ref="C271:D271"/>
    <mergeCell ref="C275:D275"/>
    <mergeCell ref="A229:H229"/>
    <mergeCell ref="A233:H233"/>
    <mergeCell ref="C269:E269"/>
    <mergeCell ref="C221:D221"/>
    <mergeCell ref="E221:F221"/>
    <mergeCell ref="G221:H221"/>
    <mergeCell ref="C222:D222"/>
    <mergeCell ref="E222:F222"/>
  </mergeCells>
  <pageMargins left="0.7" right="0.7" top="0.75" bottom="0.75" header="0.3" footer="0.3"/>
  <pageSetup paperSize="9" scale="94" orientation="portrait" r:id="rId1"/>
  <headerFooter alignWithMargins="0">
    <oddFooter>Página &amp;P de &amp;N</oddFooter>
  </headerFooter>
  <rowBreaks count="4" manualBreakCount="4">
    <brk id="72" max="8" man="1"/>
    <brk id="137" max="8" man="1"/>
    <brk id="211" max="8" man="1"/>
    <brk id="287" max="8" man="1"/>
  </rowBreaks>
  <drawing r:id="rId2"/>
  <legacyDrawing r:id="rId3"/>
  <oleObjects>
    <oleObject progId="Equation.3" shapeId="34817" r:id="rId4"/>
    <oleObject progId="Equation.3" shapeId="34818" r:id="rId5"/>
    <oleObject progId="Equation.3" shapeId="34819" r:id="rId6"/>
    <oleObject progId="Equation.3" shapeId="34820" r:id="rId7"/>
    <oleObject progId="Equation.3" shapeId="34821" r:id="rId8"/>
    <oleObject progId="Equation.3" shapeId="34822" r:id="rId9"/>
    <oleObject progId="Equation.3" shapeId="34823" r:id="rId10"/>
    <oleObject progId="Equation.3" shapeId="34824" r:id="rId11"/>
    <oleObject progId="Equation.3" shapeId="34825" r:id="rId12"/>
    <oleObject progId="Equation.3" shapeId="34826" r:id="rId13"/>
    <oleObject progId="Equation.3" shapeId="34827" r:id="rId14"/>
    <oleObject progId="Equation.3" shapeId="34828" r:id="rId15"/>
    <oleObject progId="Equation.3" shapeId="34829" r:id="rId16"/>
    <oleObject progId="Equation.3" shapeId="34830" r:id="rId17"/>
    <oleObject progId="Equation.3" shapeId="34831" r:id="rId18"/>
    <oleObject progId="Equation.3" shapeId="34832" r:id="rId19"/>
    <oleObject progId="Equation.3" shapeId="34833" r:id="rId20"/>
    <oleObject progId="Equation.3" shapeId="34834" r:id="rId21"/>
    <oleObject progId="Equation.3" shapeId="34835" r:id="rId22"/>
    <oleObject progId="Equation.3" shapeId="34836" r:id="rId23"/>
    <oleObject progId="Equation.3" shapeId="34837" r:id="rId24"/>
    <oleObject progId="Equation.3" shapeId="34838" r:id="rId2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CAPA</vt:lpstr>
      <vt:lpstr>CÁLCULO</vt:lpstr>
      <vt:lpstr>CÁLCULO!Area_de_impressao</vt:lpstr>
    </vt:vector>
  </TitlesOfParts>
  <Company>Engemap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Neto</dc:creator>
  <cp:lastModifiedBy>thiago.alves</cp:lastModifiedBy>
  <cp:lastPrinted>2015-12-07T19:00:44Z</cp:lastPrinted>
  <dcterms:created xsi:type="dcterms:W3CDTF">2003-11-10T12:11:02Z</dcterms:created>
  <dcterms:modified xsi:type="dcterms:W3CDTF">2016-08-05T18:26:06Z</dcterms:modified>
</cp:coreProperties>
</file>